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24226"/>
  <mc:AlternateContent xmlns:mc="http://schemas.openxmlformats.org/markup-compatibility/2006">
    <mc:Choice Requires="x15">
      <x15ac:absPath xmlns:x15ac="http://schemas.microsoft.com/office/spreadsheetml/2010/11/ac" url="C:\Users\Scott\Desktop\AFR 25\HPW\"/>
    </mc:Choice>
  </mc:AlternateContent>
  <xr:revisionPtr revIDLastSave="0" documentId="13_ncr:1_{1773AF1F-7C00-497C-BD71-9B297C2F1A0F}" xr6:coauthVersionLast="47" xr6:coauthVersionMax="47" xr10:uidLastSave="{00000000-0000-0000-0000-000000000000}"/>
  <workbookProtection workbookAlgorithmName="SHA-512" workbookHashValue="IUsat8xBPbdzfkodKkr5l+2SCFQhGw5qRBG+Xu9ZtAaxG5uVcuuZGb4E9jBi39jZIDZXhwmQkh8eaaITjbq5XA==" workbookSaltValue="P8a/TNN3eH3L3ETFPmT9iw==" workbookSpinCount="100000" lockStructure="1"/>
  <bookViews>
    <workbookView xWindow="28680" yWindow="-120" windowWidth="29040" windowHeight="16440" tabRatio="876" xr2:uid="{CA47FF2C-1399-47FC-8955-3958A5622C6E}"/>
  </bookViews>
  <sheets>
    <sheet name="Cover Page" sheetId="2" r:id="rId1"/>
    <sheet name="Page 1" sheetId="8" r:id="rId2"/>
    <sheet name="Page 2" sheetId="7" r:id="rId3"/>
    <sheet name="Page 3" sheetId="22" r:id="rId4"/>
    <sheet name="Page 4" sheetId="12" r:id="rId5"/>
    <sheet name="Page 5" sheetId="14" r:id="rId6"/>
    <sheet name="Page 6" sheetId="6" r:id="rId7"/>
    <sheet name="Page 7" sheetId="5" r:id="rId8"/>
    <sheet name="Page 8" sheetId="4" r:id="rId9"/>
    <sheet name="Page 9" sheetId="15" r:id="rId10"/>
    <sheet name="Page 10" sheetId="23" r:id="rId11"/>
    <sheet name="Food Service" sheetId="26" r:id="rId12"/>
    <sheet name="Summary" sheetId="24" r:id="rId13"/>
    <sheet name="Reserve balance" sheetId="25" r:id="rId14"/>
    <sheet name="School listing" sheetId="20" r:id="rId15"/>
    <sheet name="Alerts" sheetId="17" r:id="rId16"/>
    <sheet name="Accounting data" sheetId="21" r:id="rId17"/>
    <sheet name="Calculations" sheetId="18" r:id="rId18"/>
    <sheet name="Instructions" sheetId="16" r:id="rId19"/>
  </sheets>
  <externalReferences>
    <externalReference r:id="rId20"/>
    <externalReference r:id="rId21"/>
  </externalReferences>
  <definedNames>
    <definedName name="_xlnm._FilterDatabase" localSheetId="16" hidden="1">'Accounting data'!$A$1:$L$4340</definedName>
    <definedName name="_xlnm._FilterDatabase" localSheetId="17" hidden="1">Calculations!$A$1:$E$1534</definedName>
    <definedName name="_xlnm._FilterDatabase" localSheetId="18" hidden="1">Instructions!$A$1:$D$141</definedName>
    <definedName name="_Order1" hidden="1">255</definedName>
    <definedName name="Account">'Accounting data'!$A$1</definedName>
    <definedName name="Accounting_Data_Tab">Instructions!$C$10</definedName>
    <definedName name="ActualTotalFederalAndStateProjects">'Page 8'!$K$42</definedName>
    <definedName name="ActualTotalInstImpExp">'Page 4'!$I$11</definedName>
    <definedName name="AddlInstrImprProjEndBal">'Page 4'!$F$20</definedName>
    <definedName name="AdjustedBeginningProjectBalance">Instructions!$C$127</definedName>
    <definedName name="ALaCarte">Instructions!$C$117</definedName>
    <definedName name="AllDisabilityClassifications">Instructions!$C$44</definedName>
    <definedName name="Allocation_to_Schools_2">"TextBox 1"</definedName>
    <definedName name="ArizonaIndustryCredentialsIncentive">Instructions!$C$24</definedName>
    <definedName name="AuditServices">Instructions!$C$27</definedName>
    <definedName name="AverageTeacherSalary">Instructions!$C$41</definedName>
    <definedName name="BegProjectBalances">Instructions!$C$126</definedName>
    <definedName name="Breakfasts">Instructions!$C$115</definedName>
    <definedName name="CapitalAcquisitions">Instructions!$C$28</definedName>
    <definedName name="CapitalAcquisitionsLine5">Instructions!$C$29</definedName>
    <definedName name="CashandInvestments">Instructions!$C$64</definedName>
    <definedName name="CashBal">'Page 6'!$F$6</definedName>
    <definedName name="CIP1072EndBal">'Page 5'!$P$48</definedName>
    <definedName name="ClssrmSitepg3">Instructions!$C$19</definedName>
    <definedName name="CSPEndBal">'Page 3'!$F$31</definedName>
    <definedName name="CSPlines122615">Instructions!$C$21</definedName>
    <definedName name="CSPlines4914">Instructions!$C$20</definedName>
    <definedName name="CSPPropertyPayments">Instructions!$C$22</definedName>
    <definedName name="CurrentExpensesByCategory">Instructions!$C$32</definedName>
    <definedName name="CurrentExpensesbyCategoryLines7and8">Instructions!$C$33</definedName>
    <definedName name="DebtService">Instructions!$C$53</definedName>
    <definedName name="District_Name">'School listing'!$A$1</definedName>
    <definedName name="EXPENSES">Instructions!$C$95</definedName>
    <definedName name="ExpensesPage2">Instructions!$C$17</definedName>
    <definedName name="FederalAndStateProjectsAdjustedBeginningProjectBalance">Instructions!$C$46</definedName>
    <definedName name="FederalAndStateProjectsPage2">Instructions!$C$18</definedName>
    <definedName name="FederalAndStateProjectsPage9">Instructions!$C$47</definedName>
    <definedName name="FederalAndStateProjectsPage9Line30">Instructions!$C$49</definedName>
    <definedName name="Food_Service_1600">Instructions!$C$13</definedName>
    <definedName name="FoodServiceGen">Instructions!$C$89</definedName>
    <definedName name="FP11001130EndBal">'Page 8'!$N$6</definedName>
    <definedName name="FP11401150EndBal">'Page 8'!$N$7</definedName>
    <definedName name="FP1160EndBal">'Page 8'!$N$8</definedName>
    <definedName name="FP11701180EndBal">'Page 8'!$N$9</definedName>
    <definedName name="FP1190EndBal">'Page 8'!$N$10</definedName>
    <definedName name="FP1200EndBal">'Page 8'!$N$11</definedName>
    <definedName name="FP1210EndBal">'Page 8'!$N$12</definedName>
    <definedName name="FP1220EndBal">'Page 8'!$N$13</definedName>
    <definedName name="FP1230EndBal">'Page 8'!$N$14</definedName>
    <definedName name="FP1240EndBal">'Page 8'!$N$15</definedName>
    <definedName name="FP1250EndBal">'Page 8'!$N$16</definedName>
    <definedName name="FP1260EndBal">'Page 8'!$N$17</definedName>
    <definedName name="FP1280EndBal">'Page 8'!$N$18</definedName>
    <definedName name="FP1290EndBal">'Page 8'!$N$19</definedName>
    <definedName name="FP1300EndBal">'Page 8'!$N$20</definedName>
    <definedName name="FP13101399EndBal">'Page 8'!$N$22</definedName>
    <definedName name="FP13XXImpactAidEndBal">'Page 8'!$N$21</definedName>
    <definedName name="FullTimeEquivalentTeachers">Instructions!$C$34</definedName>
    <definedName name="GeneralInstructions">Instructions!$C$2</definedName>
    <definedName name="GeneralPage1">Instructions!$C$12</definedName>
    <definedName name="GeneralPage10">Instructions!$C$50</definedName>
    <definedName name="ImpactAidandOtherFederalProjects">Instructions!$C$48</definedName>
    <definedName name="InvestmentInCapitalAssets">Instructions!$C$30</definedName>
    <definedName name="InvestmentInCapitalAssetsLine5">Instructions!$C$31</definedName>
    <definedName name="LongandShortTermDebt">Instructions!$C$65</definedName>
    <definedName name="LunchesSuppers">Instructions!$C$116</definedName>
    <definedName name="NameCountyCTDSNumber">Instructions!$C$7</definedName>
    <definedName name="Page10DebtServiceDetail">Instructions!$C$75</definedName>
    <definedName name="Page10FY20to23Exp">Instructions!$C$85</definedName>
    <definedName name="Page10FY24Exp">Instructions!$C$86</definedName>
    <definedName name="Page10General">Instructions!$C$69</definedName>
    <definedName name="Page10OtherLine">Instructions!$C$70</definedName>
    <definedName name="Page10PPP">Instructions!$A$88</definedName>
    <definedName name="Page10projects">Instructions!$A$76</definedName>
    <definedName name="Page10ProjectsLine1">Instructions!$C$78</definedName>
    <definedName name="Page10ProjectsLine2">Instructions!$C$79</definedName>
    <definedName name="Page10ProjectsLine3">Instructions!$C$80</definedName>
    <definedName name="Page10ProjectsLine4">Instructions!$C$81</definedName>
    <definedName name="Page10ProjectsLine5">Instructions!$C$82</definedName>
    <definedName name="Page10ProjectsLine6">Instructions!$C$83</definedName>
    <definedName name="Page10PropertyDisbursement">Instructions!$C$73</definedName>
    <definedName name="Page10PropertyDisbursementDetail">Instructions!$C$74</definedName>
    <definedName name="Page10Remaining">Instructions!$C$87</definedName>
    <definedName name="Page10TechDetail">Instructions!$C$71</definedName>
    <definedName name="Page10TechDetailLine7">Instructions!$C$72</definedName>
    <definedName name="Page10TotalAward">Instructions!$C$84</definedName>
    <definedName name="Page3AdjBeginProjBal">Instructions!$C$23</definedName>
    <definedName name="Page4AdjBeginProjBal">Instructions!$C$25</definedName>
    <definedName name="Page5AdjBeginProjBal">Instructions!$C$26</definedName>
    <definedName name="_xlnm.Print_Area" localSheetId="16">'Accounting data'!$A:$L</definedName>
    <definedName name="_xlnm.Print_Area" localSheetId="15">Alerts!$A$1:$A$17</definedName>
    <definedName name="_xlnm.Print_Area" localSheetId="0">'Cover Page'!$A$1:$R$35</definedName>
    <definedName name="_xlnm.Print_Area" localSheetId="11">'Food Service'!$A$1:$P$43</definedName>
    <definedName name="_xlnm.Print_Area" localSheetId="18">Instructions!$A:$D</definedName>
    <definedName name="_xlnm.Print_Area" localSheetId="1">'Page 1'!$A$1:$N$43</definedName>
    <definedName name="_xlnm.Print_Area" localSheetId="10">'Page 10'!$A$1:$P$49</definedName>
    <definedName name="_xlnm.Print_Area" localSheetId="2">'Page 2'!$A$1:$M$48</definedName>
    <definedName name="_xlnm.Print_Area" localSheetId="3">'Page 3'!$A$1:$L$31</definedName>
    <definedName name="_xlnm.Print_Area" localSheetId="4">'Page 4'!$A$1:$M$30</definedName>
    <definedName name="_xlnm.Print_Area" localSheetId="6">'Page 6'!$A$1:$U$42</definedName>
    <definedName name="_xlnm.Print_Area" localSheetId="7">'Page 7'!$A$1:$W$27</definedName>
    <definedName name="_xlnm.Print_Area" localSheetId="8">'Page 8'!$A$1:$O$42</definedName>
    <definedName name="_xlnm.Print_Area" localSheetId="9">'Page 9'!$A$1:$L$63</definedName>
    <definedName name="_xlnm.Print_Area" localSheetId="13">'Reserve balance'!$A$1:$M$46</definedName>
    <definedName name="_xlnm.Print_Area" localSheetId="12">Summary!$A$1:$V$24</definedName>
    <definedName name="PriorYearSalary">'Page 6'!$T$30</definedName>
    <definedName name="PropertyDisbursements">Instructions!$C$51</definedName>
    <definedName name="PropertyDisbursementsByType">Instructions!$C$52</definedName>
    <definedName name="ReserveBalSecA">Instructions!$C$128</definedName>
    <definedName name="ReserveBalSecAl1">Instructions!$C$129</definedName>
    <definedName name="ReserveBalSecAl2">Instructions!$C$130</definedName>
    <definedName name="ReserveBalSecAl3">Instructions!$C$131</definedName>
    <definedName name="ReserveBalSecAl3a">Instructions!$C$132</definedName>
    <definedName name="ReserveBalSecAl3b">Instructions!$C$133</definedName>
    <definedName name="ReserveBalSecAl3c">Instructions!$C$134</definedName>
    <definedName name="ReserveBalSecAl3d">Instructions!$C$135</definedName>
    <definedName name="ReserveBalSecAl3e">Instructions!$C$136</definedName>
    <definedName name="ReserveBalSecAl3f">Instructions!$C$137</definedName>
    <definedName name="ReserveBalSecAl3g">Instructions!$C$138</definedName>
    <definedName name="ReserveBalSecB">Instructions!$C$139</definedName>
    <definedName name="ReserveBalSecBl4">Instructions!$C$140</definedName>
    <definedName name="ReserveBalSecBl5">Instructions!$C$141</definedName>
    <definedName name="Restricted3200">Instructions!$C$14</definedName>
    <definedName name="Revenue_From_Selected_Federal_Sources">Instructions!$C$54</definedName>
    <definedName name="REVENUES">Instructions!$C$90</definedName>
    <definedName name="School_Listing_Tab">Instructions!$C$9</definedName>
    <definedName name="SchoolwideEndBal">Summary!$K$17</definedName>
    <definedName name="Section_C_Transportation">Instructions!$C$45</definedName>
    <definedName name="SectionA">Instructions!$C$110</definedName>
    <definedName name="SectionB">Instructions!$C$111</definedName>
    <definedName name="SectionC">Instructions!$C$119</definedName>
    <definedName name="SectionD">Instructions!$C$120</definedName>
    <definedName name="SectionE">Instructions!$C$121</definedName>
    <definedName name="SectionF">Instructions!$C$122</definedName>
    <definedName name="SectionG">Instructions!$C$123</definedName>
    <definedName name="SEIP1071EndBal">'Page 5'!$P$26</definedName>
    <definedName name="Snacks">Instructions!$C$118</definedName>
    <definedName name="SP1000ClassSiteProj">'Page 2'!$J$43</definedName>
    <definedName name="SP1000CompInstrProj">'Page 2'!$J$46</definedName>
    <definedName name="SP1000FedStProj">'Page 2'!$J$47</definedName>
    <definedName name="SP1000InstrImpProj">'Page 2'!$J$44</definedName>
    <definedName name="SP1000P100F1000">'Page 2'!$J$7</definedName>
    <definedName name="SP1000P100F2100">'Page 2'!$J$9</definedName>
    <definedName name="SP1000P100F2200">'Page 2'!$J$10</definedName>
    <definedName name="SP1000P100F2300">'Page 2'!$J$11</definedName>
    <definedName name="SP1000P100F2400">'Page 2'!$J$12</definedName>
    <definedName name="SP1000P100F2500">'Page 2'!$J$13</definedName>
    <definedName name="SP1000P100F2600">'Page 2'!$J$14</definedName>
    <definedName name="SP1000P100F2900">'Page 2'!$J$15</definedName>
    <definedName name="SP1000P100F3000">'Page 2'!$J$16</definedName>
    <definedName name="SP1000P100F4000">'Page 2'!$J$17</definedName>
    <definedName name="SP1000P100F5000">'Page 2'!$J$18</definedName>
    <definedName name="SP1000P200F1000">'Page 2'!$J$25</definedName>
    <definedName name="SP1000P200F2100">'Page 2'!$J$27</definedName>
    <definedName name="SP1000P200F2200">'Page 2'!$J$28</definedName>
    <definedName name="SP1000P200F2300">'Page 2'!$J$29</definedName>
    <definedName name="SP1000P200F2400">'Page 2'!$J$30</definedName>
    <definedName name="SP1000P200F2500">'Page 2'!$J$31</definedName>
    <definedName name="SP1000P200F2600">'Page 2'!$J$32</definedName>
    <definedName name="SP1000P200F2900">'Page 2'!$J$33</definedName>
    <definedName name="SP1000P200F3000">'Page 2'!$J$34</definedName>
    <definedName name="SP1000P200F4000">'Page 2'!$J$35</definedName>
    <definedName name="SP1000P200F5000">'Page 2'!$J$36</definedName>
    <definedName name="SP1000P400">'Page 2'!$J$38</definedName>
    <definedName name="SP1000P530">'Page 2'!$J$39</definedName>
    <definedName name="SP1000P540">'Page 2'!$J$40</definedName>
    <definedName name="SP1000P550">'Page 2'!$J$41</definedName>
    <definedName name="SP1000P610">'Page 2'!$J$19</definedName>
    <definedName name="SP1000P620">'Page 2'!$J$20</definedName>
    <definedName name="SP1000P630700800900">'Page 2'!$J$22</definedName>
    <definedName name="SP1000StruEngImmProj">'Page 2'!$J$45</definedName>
    <definedName name="SpecialEdProgramsByType">Instructions!$C$43</definedName>
    <definedName name="StP1400EndBal">'Page 8'!$N$28</definedName>
    <definedName name="StP1410EndBal">'Page 8'!$N$29</definedName>
    <definedName name="StP1420EndBal">'Page 8'!$N$30</definedName>
    <definedName name="StP1425EndBal">'Page 8'!$N$31</definedName>
    <definedName name="StP1430EndBal">'Page 8'!$N$32</definedName>
    <definedName name="StP1435EndBal">'Page 8'!$N$33</definedName>
    <definedName name="StP1450EndBal">'Page 8'!$N$34</definedName>
    <definedName name="StP1456EndBal">'Page 8'!$N$35</definedName>
    <definedName name="StP1460EndBal">'Page 8'!$N$36</definedName>
    <definedName name="StP1465EndBal">'Page 8'!$N$37</definedName>
    <definedName name="StP14701499EndBal">'Page 8'!$N$39</definedName>
    <definedName name="StP14XXEndBal">'Page 8'!$N$38</definedName>
    <definedName name="SumADM">Instructions!$C$125</definedName>
    <definedName name="SumGen">Instructions!$C$124</definedName>
    <definedName name="SupportServicesInstructionDetail">Instructions!$C$68</definedName>
    <definedName name="TeacherSalaries">Instructions!$C$35</definedName>
    <definedName name="TeacherSalariesLine1">Instructions!$C$36</definedName>
    <definedName name="TeacherSalariesLine2">Instructions!$C$37</definedName>
    <definedName name="TeacherSalariesLine3">Instructions!$C$38</definedName>
    <definedName name="TeacherSalariesLine4">Instructions!$C$39</definedName>
    <definedName name="TeacherSalariesLine5">Instructions!$C$40</definedName>
    <definedName name="TechnologyDetail">Instructions!$C$67</definedName>
    <definedName name="TotalActualGiftedExpenses">Instructions!$C$42</definedName>
    <definedName name="TotalCIP6100">'Page 5'!$I$48</definedName>
    <definedName name="TotalCIP6200">'Page 5'!$J$48</definedName>
    <definedName name="TotalCIP630064006500">'Page 5'!$K$48</definedName>
    <definedName name="TotalCIP6600">'Page 5'!$L$48</definedName>
    <definedName name="TotalCIP6800">'Page 5'!$M$48</definedName>
    <definedName name="TotalSEIP6100">'Page 5'!$I$26</definedName>
    <definedName name="TotalSEIP6200">'Page 5'!$J$26</definedName>
    <definedName name="TotalSEIP630064006500">'Page 5'!$K$26</definedName>
    <definedName name="TotalSEIP6600">'Page 5'!$L$26</definedName>
    <definedName name="TotalSEIP6800">'Page 5'!$M$26</definedName>
    <definedName name="TotExpSchoolwide">'Page 2'!$J$42</definedName>
    <definedName name="Unrestricted_Restricted_4100_4300">Instructions!$C$15</definedName>
    <definedName name="Unrestricted_Restricted_4200_4500">Instructions!$C$16</definedName>
    <definedName name="UtilitiesandEnergyServices">Instructions!$C$66</definedName>
    <definedName name="websitelink">Instructions!$C$8</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6" i="21" l="1"/>
  <c r="G6" i="21"/>
  <c r="J38" i="4" l="1"/>
  <c r="F29" i="12"/>
  <c r="AC10" i="4" l="1"/>
  <c r="AC9" i="4"/>
  <c r="H19" i="8" l="1"/>
  <c r="H18" i="8"/>
  <c r="H16" i="8"/>
  <c r="M15" i="23" l="1" a="1"/>
  <c r="M15" i="23" s="1"/>
  <c r="M14" i="23" a="1"/>
  <c r="M14" i="23" s="1"/>
  <c r="M13" i="23" a="1"/>
  <c r="M13" i="23" s="1"/>
  <c r="N12" i="24" l="1"/>
  <c r="T20" i="2"/>
  <c r="E25" i="4" l="1"/>
  <c r="E21" i="4"/>
  <c r="E39" i="4" l="1"/>
  <c r="E35" i="4" a="1"/>
  <c r="E35" i="4" s="1"/>
  <c r="J35" i="4"/>
  <c r="S25" i="5"/>
  <c r="S16" i="5"/>
  <c r="F19" i="22"/>
  <c r="F18" i="22"/>
  <c r="F17" i="22"/>
  <c r="J39" i="4"/>
  <c r="J37" i="4"/>
  <c r="J36" i="4"/>
  <c r="J34" i="4"/>
  <c r="J33" i="4"/>
  <c r="J32" i="4"/>
  <c r="J31" i="4"/>
  <c r="J30" i="4"/>
  <c r="J29" i="4"/>
  <c r="J28" i="4"/>
  <c r="J22" i="4"/>
  <c r="J21" i="4"/>
  <c r="J20" i="4"/>
  <c r="J19" i="4"/>
  <c r="J18" i="4"/>
  <c r="J17" i="4"/>
  <c r="J16" i="4"/>
  <c r="J15" i="4"/>
  <c r="J14" i="4"/>
  <c r="J13" i="4"/>
  <c r="J12" i="4"/>
  <c r="J11" i="4"/>
  <c r="J10" i="4"/>
  <c r="J9" i="4"/>
  <c r="J8" i="4"/>
  <c r="J7" i="4"/>
  <c r="J6" i="4"/>
  <c r="S22" i="5"/>
  <c r="S21" i="5"/>
  <c r="S20" i="5"/>
  <c r="S19" i="5"/>
  <c r="S18" i="5"/>
  <c r="S17" i="5"/>
  <c r="F19" i="6"/>
  <c r="F18" i="6"/>
  <c r="F17" i="6"/>
  <c r="F16" i="6"/>
  <c r="F15" i="6"/>
  <c r="F14" i="6"/>
  <c r="N47" i="14"/>
  <c r="N43" i="14"/>
  <c r="N42" i="14"/>
  <c r="N41" i="14"/>
  <c r="N40" i="14"/>
  <c r="N39" i="14"/>
  <c r="N38" i="14"/>
  <c r="N37" i="14"/>
  <c r="N35" i="14"/>
  <c r="N25" i="14"/>
  <c r="N21" i="14"/>
  <c r="N20" i="14"/>
  <c r="N19" i="14"/>
  <c r="N18" i="14"/>
  <c r="N17" i="14"/>
  <c r="N16" i="14"/>
  <c r="N14" i="14"/>
  <c r="N13" i="14"/>
  <c r="H10" i="12"/>
  <c r="H9" i="12"/>
  <c r="H8" i="12"/>
  <c r="H7" i="12"/>
  <c r="J12" i="22" a="1"/>
  <c r="J12" i="22" s="1"/>
  <c r="J11" i="22" a="1"/>
  <c r="J11" i="22" s="1"/>
  <c r="J10" i="22" a="1"/>
  <c r="J10" i="22" s="1"/>
  <c r="J9" i="22" a="1"/>
  <c r="J9" i="22" s="1"/>
  <c r="J8" i="22" a="1"/>
  <c r="J8" i="22" s="1"/>
  <c r="I47" i="7"/>
  <c r="I46" i="7"/>
  <c r="I45" i="7"/>
  <c r="I44" i="7"/>
  <c r="I43" i="7"/>
  <c r="I41" i="7"/>
  <c r="I40" i="7"/>
  <c r="I39" i="7"/>
  <c r="I38" i="7"/>
  <c r="I36" i="7"/>
  <c r="I35" i="7"/>
  <c r="I34" i="7"/>
  <c r="I33" i="7"/>
  <c r="I32" i="7"/>
  <c r="I31" i="7"/>
  <c r="I30" i="7"/>
  <c r="I29" i="7"/>
  <c r="I28" i="7"/>
  <c r="I27" i="7"/>
  <c r="I25" i="7"/>
  <c r="I21" i="7"/>
  <c r="I20" i="7"/>
  <c r="I19" i="7"/>
  <c r="I18" i="7"/>
  <c r="I17" i="7"/>
  <c r="I16" i="7"/>
  <c r="I15" i="7"/>
  <c r="I14" i="7"/>
  <c r="I13" i="7"/>
  <c r="I12" i="7"/>
  <c r="I11" i="7"/>
  <c r="I10" i="7"/>
  <c r="I9" i="7"/>
  <c r="I7" i="7"/>
  <c r="B17" i="24" l="1"/>
  <c r="T30" i="6"/>
  <c r="F24" i="22"/>
  <c r="E38" i="4" a="1"/>
  <c r="E38" i="4" s="1"/>
  <c r="E37" i="4"/>
  <c r="E36" i="4"/>
  <c r="E34" i="4"/>
  <c r="E33" i="4"/>
  <c r="E32" i="4"/>
  <c r="E31" i="4"/>
  <c r="E30" i="4"/>
  <c r="E29" i="4"/>
  <c r="E28" i="4"/>
  <c r="E22" i="4"/>
  <c r="E20" i="4"/>
  <c r="E19" i="4"/>
  <c r="E18" i="4"/>
  <c r="E17" i="4"/>
  <c r="E16" i="4"/>
  <c r="E15" i="4"/>
  <c r="E14" i="4"/>
  <c r="E13" i="4"/>
  <c r="E12" i="4"/>
  <c r="E11" i="4"/>
  <c r="E10" i="4"/>
  <c r="E9" i="4"/>
  <c r="E8" i="4"/>
  <c r="E7" i="4"/>
  <c r="E6" i="4"/>
  <c r="D6" i="6"/>
  <c r="F48" i="14"/>
  <c r="F26" i="14"/>
  <c r="F15" i="12"/>
  <c r="K47" i="7"/>
  <c r="K46" i="7"/>
  <c r="K45" i="7"/>
  <c r="K44" i="7"/>
  <c r="K43" i="7"/>
  <c r="K41" i="7"/>
  <c r="K40" i="7"/>
  <c r="K39" i="7"/>
  <c r="K38" i="7"/>
  <c r="K36" i="7"/>
  <c r="K35" i="7"/>
  <c r="K34" i="7"/>
  <c r="K33" i="7"/>
  <c r="K32" i="7"/>
  <c r="K31" i="7"/>
  <c r="K30" i="7"/>
  <c r="K29" i="7"/>
  <c r="K28" i="7"/>
  <c r="K27" i="7"/>
  <c r="K25" i="7"/>
  <c r="K22" i="7"/>
  <c r="K20" i="7"/>
  <c r="K19" i="7"/>
  <c r="K18" i="7"/>
  <c r="K17" i="7"/>
  <c r="K16" i="7"/>
  <c r="K15" i="7"/>
  <c r="K14" i="7"/>
  <c r="K13" i="7"/>
  <c r="K12" i="7"/>
  <c r="K11" i="7"/>
  <c r="K10" i="7"/>
  <c r="K9" i="7"/>
  <c r="K7" i="7"/>
  <c r="K21" i="7"/>
  <c r="F40" i="4" l="1" a="1"/>
  <c r="F40" i="4" s="1"/>
  <c r="F23" i="4" a="1"/>
  <c r="F23" i="4" s="1"/>
  <c r="B20" i="24"/>
  <c r="B21" i="24"/>
  <c r="B18" i="24"/>
  <c r="B19" i="24"/>
  <c r="O1" i="26"/>
  <c r="I1" i="26"/>
  <c r="C1" i="26"/>
  <c r="E12" i="26"/>
  <c r="O20" i="26"/>
  <c r="O35" i="26"/>
  <c r="E1538" i="18" l="1"/>
  <c r="E1537" i="18"/>
  <c r="E1536" i="18"/>
  <c r="E1535" i="18"/>
  <c r="E1532" i="18" a="1"/>
  <c r="E1532" i="18" s="1"/>
  <c r="E1531" i="18" a="1"/>
  <c r="E1531" i="18" s="1"/>
  <c r="E1530" i="18" a="1"/>
  <c r="E1530" i="18" s="1"/>
  <c r="E1529" i="18" a="1"/>
  <c r="E1529" i="18" s="1"/>
  <c r="E1527" i="18"/>
  <c r="E1526" i="18"/>
  <c r="E1525" i="18"/>
  <c r="E1524" i="18"/>
  <c r="E1522" i="18" a="1"/>
  <c r="E1522" i="18" s="1"/>
  <c r="E1521" i="18" a="1"/>
  <c r="E1521" i="18" s="1"/>
  <c r="E1520" i="18" a="1"/>
  <c r="E1520" i="18" s="1"/>
  <c r="E1519" i="18"/>
  <c r="E1517" i="18"/>
  <c r="E1516" i="18"/>
  <c r="E1515" i="18"/>
  <c r="E1514" i="18"/>
  <c r="E1513" i="18"/>
  <c r="E1512" i="18"/>
  <c r="E1511" i="18"/>
  <c r="E1510" i="18"/>
  <c r="E1509" i="18"/>
  <c r="E1508" i="18"/>
  <c r="E1507" i="18"/>
  <c r="E1506" i="18"/>
  <c r="E1503" i="18" a="1"/>
  <c r="E1503" i="18" s="1"/>
  <c r="E1502" i="18" a="1"/>
  <c r="E1502" i="18" s="1"/>
  <c r="E1501" i="18" a="1"/>
  <c r="E1501" i="18" s="1"/>
  <c r="E1500" i="18" a="1"/>
  <c r="E1500" i="18" s="1"/>
  <c r="E1498" i="18" a="1"/>
  <c r="E1498" i="18" s="1"/>
  <c r="E1497" i="18" a="1"/>
  <c r="E1497" i="18" s="1"/>
  <c r="E1496" i="18" a="1"/>
  <c r="E1496" i="18" s="1"/>
  <c r="E1495" i="18" a="1"/>
  <c r="E1495" i="18" s="1"/>
  <c r="E1493" i="18" a="1"/>
  <c r="E1493" i="18" s="1"/>
  <c r="E1492" i="18" a="1"/>
  <c r="E1492" i="18" s="1"/>
  <c r="E1491" i="18" a="1"/>
  <c r="E1491" i="18" s="1"/>
  <c r="E1490" i="18" a="1"/>
  <c r="E1490" i="18" s="1"/>
  <c r="E1488" i="18" a="1"/>
  <c r="E1488" i="18" s="1"/>
  <c r="E1487" i="18" a="1"/>
  <c r="E1487" i="18" s="1"/>
  <c r="E1486" i="18" a="1"/>
  <c r="E1486" i="18" s="1"/>
  <c r="E1485" i="18" a="1"/>
  <c r="E1485" i="18"/>
  <c r="E1483" i="18" a="1"/>
  <c r="E1483" i="18" s="1"/>
  <c r="E1482" i="18" a="1"/>
  <c r="E1482" i="18" s="1"/>
  <c r="E1481" i="18" a="1"/>
  <c r="E1481" i="18" s="1"/>
  <c r="E1480" i="18" a="1"/>
  <c r="E1480" i="18" s="1"/>
  <c r="E1478" i="18" a="1"/>
  <c r="E1478" i="18" s="1"/>
  <c r="E1477" i="18" a="1"/>
  <c r="E1477" i="18" s="1"/>
  <c r="E1476" i="18" a="1"/>
  <c r="E1476" i="18" s="1"/>
  <c r="E1475" i="18" a="1"/>
  <c r="E1475" i="18" s="1"/>
  <c r="E1473" i="18" a="1"/>
  <c r="E1473" i="18" s="1"/>
  <c r="E1472" i="18" a="1"/>
  <c r="E1472" i="18" s="1"/>
  <c r="E1471" i="18" a="1"/>
  <c r="E1471" i="18" s="1"/>
  <c r="E1470" i="18" a="1"/>
  <c r="E1470" i="18" s="1"/>
  <c r="E1468" i="18" a="1"/>
  <c r="E1468" i="18" s="1"/>
  <c r="E1467" i="18" a="1"/>
  <c r="E1467" i="18" s="1"/>
  <c r="E1466" i="18" a="1"/>
  <c r="E1466" i="18" s="1"/>
  <c r="E1465" i="18" a="1"/>
  <c r="E1465" i="18" s="1"/>
  <c r="E1463" i="18" a="1"/>
  <c r="E1463" i="18" s="1"/>
  <c r="E1462" i="18" a="1"/>
  <c r="E1462" i="18" s="1"/>
  <c r="E1461" i="18" a="1"/>
  <c r="E1461" i="18" s="1"/>
  <c r="E1460" i="18" a="1"/>
  <c r="E1460" i="18" s="1"/>
  <c r="E1458" i="18" a="1"/>
  <c r="E1458" i="18" s="1"/>
  <c r="E1457" i="18" a="1"/>
  <c r="E1457" i="18" s="1"/>
  <c r="E1456" i="18" a="1"/>
  <c r="E1456" i="18" s="1"/>
  <c r="E1455" i="18" a="1"/>
  <c r="E1455" i="18" s="1"/>
  <c r="E1453" i="18" a="1"/>
  <c r="E1453" i="18" s="1"/>
  <c r="E1452" i="18" a="1"/>
  <c r="E1452" i="18" s="1"/>
  <c r="E1451" i="18" a="1"/>
  <c r="E1451" i="18" s="1"/>
  <c r="E1450" i="18" a="1"/>
  <c r="E1450" i="18" s="1"/>
  <c r="E1448" i="18"/>
  <c r="E1447" i="18"/>
  <c r="E1446" i="18"/>
  <c r="E1445" i="18"/>
  <c r="E1437" i="18"/>
  <c r="E1438" i="18" s="1"/>
  <c r="E1387" i="18"/>
  <c r="E1386" i="18"/>
  <c r="E1385" i="18"/>
  <c r="E1384" i="18"/>
  <c r="E1383" i="18"/>
  <c r="E1382" i="18"/>
  <c r="E1381" i="18"/>
  <c r="E1380" i="18"/>
  <c r="E1379" i="18"/>
  <c r="E1378" i="18"/>
  <c r="E1377" i="18"/>
  <c r="E1376" i="18"/>
  <c r="E1375" i="18"/>
  <c r="E1374" i="18"/>
  <c r="E1373" i="18"/>
  <c r="E1372" i="18"/>
  <c r="E1371" i="18"/>
  <c r="E1370" i="18"/>
  <c r="E1365" i="18"/>
  <c r="E1363" i="18"/>
  <c r="E1361" i="18"/>
  <c r="E1360" i="18"/>
  <c r="E1359" i="18"/>
  <c r="E1358" i="18"/>
  <c r="E1354" i="18"/>
  <c r="E1352" i="18"/>
  <c r="E1350" i="18"/>
  <c r="E1349" i="18"/>
  <c r="E1348" i="18"/>
  <c r="E1347" i="18"/>
  <c r="E1343" i="18"/>
  <c r="E1341" i="18"/>
  <c r="E1339" i="18"/>
  <c r="E1338" i="18"/>
  <c r="E1337" i="18"/>
  <c r="E1336" i="18"/>
  <c r="E1332" i="18"/>
  <c r="E1330" i="18"/>
  <c r="E1328" i="18"/>
  <c r="E1327" i="18"/>
  <c r="E1326" i="18"/>
  <c r="E1325" i="18"/>
  <c r="E1310" i="18"/>
  <c r="E1308" i="18"/>
  <c r="E1306" i="18"/>
  <c r="E1305" i="18"/>
  <c r="E1304" i="18"/>
  <c r="E1303" i="18"/>
  <c r="E1299" i="18"/>
  <c r="E1297" i="18"/>
  <c r="E1295" i="18"/>
  <c r="E1294" i="18"/>
  <c r="E1293" i="18"/>
  <c r="E1292" i="18"/>
  <c r="E1288" i="18"/>
  <c r="E1286" i="18"/>
  <c r="E1284" i="18"/>
  <c r="E1283" i="18"/>
  <c r="E1282" i="18"/>
  <c r="E1281" i="18"/>
  <c r="E1277" i="18"/>
  <c r="E1275" i="18"/>
  <c r="E1273" i="18"/>
  <c r="E1272" i="18"/>
  <c r="E1271" i="18"/>
  <c r="E1270" i="18"/>
  <c r="E1266" i="18"/>
  <c r="E1264" i="18"/>
  <c r="E1262" i="18"/>
  <c r="E1261" i="18"/>
  <c r="E1260" i="18"/>
  <c r="E1259" i="18"/>
  <c r="E1255" i="18"/>
  <c r="E1253" i="18"/>
  <c r="E1251" i="18"/>
  <c r="E1250" i="18"/>
  <c r="E1249" i="18"/>
  <c r="E1248" i="18"/>
  <c r="E1244" i="18"/>
  <c r="E1242" i="18"/>
  <c r="E1240" i="18"/>
  <c r="E1239" i="18"/>
  <c r="E1238" i="18"/>
  <c r="E1237" i="18"/>
  <c r="E1233" i="18"/>
  <c r="E1231" i="18"/>
  <c r="E1229" i="18"/>
  <c r="E1228" i="18"/>
  <c r="E1227" i="18"/>
  <c r="E1226" i="18"/>
  <c r="E1222" i="18"/>
  <c r="E1220" i="18"/>
  <c r="E1218" i="18"/>
  <c r="E1217" i="18"/>
  <c r="E1216" i="18"/>
  <c r="E1215" i="18"/>
  <c r="E1213" i="18"/>
  <c r="E1212" i="18"/>
  <c r="E1211" i="18"/>
  <c r="E1210" i="18"/>
  <c r="E1209" i="18"/>
  <c r="E1208" i="18"/>
  <c r="E1207" i="18"/>
  <c r="E1206" i="18"/>
  <c r="E1205" i="18"/>
  <c r="E1204" i="18"/>
  <c r="E1203" i="18"/>
  <c r="E1202" i="18"/>
  <c r="E1197" i="18"/>
  <c r="E1196" i="18"/>
  <c r="E1195" i="18"/>
  <c r="E1194" i="18"/>
  <c r="E1190" i="18"/>
  <c r="E1189" i="18"/>
  <c r="E1188" i="18"/>
  <c r="E1187" i="18"/>
  <c r="E1186" i="18"/>
  <c r="E1176" i="18"/>
  <c r="E1175" i="18"/>
  <c r="E1174" i="18"/>
  <c r="E1173" i="18"/>
  <c r="E1169" i="18"/>
  <c r="E1168" i="18"/>
  <c r="E1167" i="18"/>
  <c r="E1166" i="18"/>
  <c r="E1162" i="18"/>
  <c r="E1161" i="18"/>
  <c r="E1160" i="18"/>
  <c r="E1159" i="18"/>
  <c r="E1155" i="18"/>
  <c r="E1154" i="18"/>
  <c r="E1153" i="18"/>
  <c r="E1152" i="18"/>
  <c r="E1148" i="18"/>
  <c r="E1147" i="18"/>
  <c r="E1146" i="18"/>
  <c r="E1145" i="18"/>
  <c r="E1141" i="18"/>
  <c r="E1140" i="18"/>
  <c r="E1139" i="18"/>
  <c r="E1138" i="18"/>
  <c r="E1134" i="18"/>
  <c r="E1133" i="18"/>
  <c r="E1132" i="18"/>
  <c r="E1131" i="18"/>
  <c r="E1127" i="18"/>
  <c r="E1126" i="18"/>
  <c r="E1125" i="18"/>
  <c r="E1124" i="18"/>
  <c r="E1120" i="18"/>
  <c r="E1119" i="18"/>
  <c r="E1118" i="18"/>
  <c r="E1117" i="18"/>
  <c r="E1113" i="18"/>
  <c r="E1112" i="18"/>
  <c r="E1111" i="18"/>
  <c r="E1110" i="18"/>
  <c r="E1108" i="18"/>
  <c r="E1107" i="18"/>
  <c r="E1106" i="18"/>
  <c r="E1105" i="18"/>
  <c r="E1079" i="18"/>
  <c r="E1078" i="18"/>
  <c r="E1077" i="18"/>
  <c r="E1076" i="18"/>
  <c r="E1060" i="18"/>
  <c r="E1059" i="18"/>
  <c r="E1058" i="18"/>
  <c r="E1057" i="18"/>
  <c r="E1053" i="18"/>
  <c r="E1052" i="18"/>
  <c r="E1051" i="18"/>
  <c r="E1050" i="18"/>
  <c r="E1048" i="18"/>
  <c r="E1047" i="18"/>
  <c r="E1046" i="18"/>
  <c r="E1045" i="18"/>
  <c r="E1044" i="18"/>
  <c r="E1043" i="18"/>
  <c r="E1042" i="18"/>
  <c r="E1041" i="18"/>
  <c r="E1040" i="18"/>
  <c r="E1039" i="18"/>
  <c r="E1038" i="18"/>
  <c r="E1037" i="18"/>
  <c r="E1032" i="18"/>
  <c r="E1031" i="18"/>
  <c r="E1030" i="18"/>
  <c r="E1029" i="18"/>
  <c r="E1025" i="18"/>
  <c r="E1024" i="18"/>
  <c r="E1023" i="18"/>
  <c r="E1022" i="18"/>
  <c r="E1011" i="18"/>
  <c r="E1010" i="18"/>
  <c r="E1009" i="18"/>
  <c r="E1008" i="18"/>
  <c r="E1004" i="18"/>
  <c r="E1003" i="18"/>
  <c r="E1002" i="18"/>
  <c r="E1001" i="18"/>
  <c r="E997" i="18"/>
  <c r="E996" i="18"/>
  <c r="E995" i="18"/>
  <c r="E994" i="18"/>
  <c r="E990" i="18"/>
  <c r="E989" i="18"/>
  <c r="E988" i="18"/>
  <c r="E987" i="18"/>
  <c r="E983" i="18"/>
  <c r="E982" i="18"/>
  <c r="E981" i="18"/>
  <c r="E980" i="18"/>
  <c r="E976" i="18"/>
  <c r="E975" i="18"/>
  <c r="E974" i="18"/>
  <c r="E973" i="18"/>
  <c r="E969" i="18"/>
  <c r="E968" i="18"/>
  <c r="E967" i="18"/>
  <c r="E966" i="18"/>
  <c r="E962" i="18"/>
  <c r="E961" i="18"/>
  <c r="E960" i="18"/>
  <c r="E959" i="18"/>
  <c r="E955" i="18"/>
  <c r="E954" i="18"/>
  <c r="E953" i="18"/>
  <c r="E952" i="18"/>
  <c r="E948" i="18"/>
  <c r="E947" i="18"/>
  <c r="E946" i="18"/>
  <c r="E945" i="18"/>
  <c r="E733" i="18"/>
  <c r="E732" i="18"/>
  <c r="E731" i="18"/>
  <c r="E730" i="18"/>
  <c r="E729" i="18"/>
  <c r="E728" i="18"/>
  <c r="E727" i="18"/>
  <c r="E726" i="18"/>
  <c r="E725" i="18"/>
  <c r="E724" i="18"/>
  <c r="E723" i="18"/>
  <c r="E722" i="18"/>
  <c r="E717" i="18"/>
  <c r="E716" i="18"/>
  <c r="E715" i="18"/>
  <c r="E714" i="18"/>
  <c r="E710" i="18"/>
  <c r="E709" i="18"/>
  <c r="E708" i="18"/>
  <c r="E707" i="18"/>
  <c r="E696" i="18"/>
  <c r="E695" i="18"/>
  <c r="E694" i="18"/>
  <c r="E693" i="18"/>
  <c r="E689" i="18"/>
  <c r="E688" i="18"/>
  <c r="E687" i="18"/>
  <c r="E686" i="18"/>
  <c r="E682" i="18"/>
  <c r="E681" i="18"/>
  <c r="E680" i="18"/>
  <c r="E679" i="18"/>
  <c r="E675" i="18"/>
  <c r="E674" i="18"/>
  <c r="E673" i="18"/>
  <c r="E672" i="18"/>
  <c r="E668" i="18"/>
  <c r="E667" i="18"/>
  <c r="E666" i="18"/>
  <c r="E665" i="18"/>
  <c r="E661" i="18"/>
  <c r="E660" i="18"/>
  <c r="E659" i="18"/>
  <c r="E658" i="18"/>
  <c r="E654" i="18"/>
  <c r="E653" i="18"/>
  <c r="E652" i="18"/>
  <c r="E651" i="18"/>
  <c r="E647" i="18"/>
  <c r="E646" i="18"/>
  <c r="E645" i="18"/>
  <c r="E644" i="18"/>
  <c r="E640" i="18"/>
  <c r="E639" i="18"/>
  <c r="E638" i="18"/>
  <c r="E637" i="18"/>
  <c r="E633" i="18"/>
  <c r="E632" i="18"/>
  <c r="E631" i="18"/>
  <c r="E630" i="18"/>
  <c r="E601" i="18"/>
  <c r="E600" i="18"/>
  <c r="E599" i="18"/>
  <c r="E598" i="18"/>
  <c r="E597" i="18"/>
  <c r="E596" i="18"/>
  <c r="E595" i="18"/>
  <c r="E594" i="18"/>
  <c r="E593" i="18"/>
  <c r="E592" i="18"/>
  <c r="E591" i="18"/>
  <c r="E590" i="18"/>
  <c r="E588" i="18"/>
  <c r="E587" i="18"/>
  <c r="E586" i="18"/>
  <c r="E585" i="18"/>
  <c r="E584" i="18"/>
  <c r="E583" i="18"/>
  <c r="E582" i="18"/>
  <c r="E581" i="18"/>
  <c r="E580" i="18"/>
  <c r="E579" i="18"/>
  <c r="E578" i="18"/>
  <c r="E577" i="18"/>
  <c r="E575" i="18"/>
  <c r="E574" i="18"/>
  <c r="E573" i="18"/>
  <c r="E572" i="18"/>
  <c r="E571" i="18"/>
  <c r="E570" i="18"/>
  <c r="E569" i="18"/>
  <c r="E568" i="18"/>
  <c r="E567" i="18"/>
  <c r="E566" i="18"/>
  <c r="E565" i="18"/>
  <c r="E564" i="18"/>
  <c r="E543" i="18"/>
  <c r="E542" i="18"/>
  <c r="E541" i="18"/>
  <c r="E540" i="18"/>
  <c r="E539" i="18"/>
  <c r="E538" i="18"/>
  <c r="E537" i="18"/>
  <c r="E536" i="18"/>
  <c r="E516" i="18"/>
  <c r="E515" i="18"/>
  <c r="E514" i="18"/>
  <c r="E513" i="18"/>
  <c r="E512" i="18"/>
  <c r="E511" i="18"/>
  <c r="E510" i="18"/>
  <c r="E509" i="18"/>
  <c r="E462" i="18"/>
  <c r="E461" i="18"/>
  <c r="E460" i="18"/>
  <c r="E459" i="18"/>
  <c r="E458" i="18"/>
  <c r="E457" i="18"/>
  <c r="E456" i="18"/>
  <c r="E455" i="18"/>
  <c r="E435" i="18"/>
  <c r="E434" i="18"/>
  <c r="E433" i="18"/>
  <c r="E432" i="18"/>
  <c r="E431" i="18"/>
  <c r="E430" i="18"/>
  <c r="E429" i="18"/>
  <c r="E428" i="18"/>
  <c r="E408" i="18"/>
  <c r="E407" i="18"/>
  <c r="E406" i="18"/>
  <c r="E405" i="18"/>
  <c r="E404" i="18"/>
  <c r="E403" i="18"/>
  <c r="E402" i="18"/>
  <c r="E401" i="18"/>
  <c r="E381" i="18"/>
  <c r="E380" i="18"/>
  <c r="E379" i="18"/>
  <c r="E378" i="18"/>
  <c r="E377" i="18"/>
  <c r="E376" i="18"/>
  <c r="E375" i="18"/>
  <c r="E374" i="18"/>
  <c r="E354" i="18"/>
  <c r="E353" i="18"/>
  <c r="E352" i="18"/>
  <c r="E351" i="18"/>
  <c r="E350" i="18"/>
  <c r="E349" i="18"/>
  <c r="E348" i="18"/>
  <c r="E347" i="18"/>
  <c r="E327" i="18"/>
  <c r="E326" i="18"/>
  <c r="E325" i="18"/>
  <c r="E324" i="18"/>
  <c r="E323" i="18"/>
  <c r="E322" i="18"/>
  <c r="E321" i="18"/>
  <c r="E320" i="18"/>
  <c r="E300" i="18"/>
  <c r="E299" i="18"/>
  <c r="E298" i="18"/>
  <c r="E297" i="18"/>
  <c r="E296" i="18"/>
  <c r="E295" i="18"/>
  <c r="E294" i="18"/>
  <c r="E293" i="18"/>
  <c r="E273" i="18"/>
  <c r="E272" i="18"/>
  <c r="E271" i="18"/>
  <c r="E270" i="18"/>
  <c r="E269" i="18"/>
  <c r="E268" i="18"/>
  <c r="E267" i="18"/>
  <c r="E266" i="18"/>
  <c r="E246" i="18"/>
  <c r="E245" i="18"/>
  <c r="E244" i="18"/>
  <c r="E243" i="18"/>
  <c r="E242" i="18"/>
  <c r="E241" i="18"/>
  <c r="E240" i="18"/>
  <c r="E239" i="18"/>
  <c r="E219" i="18"/>
  <c r="E218" i="18"/>
  <c r="E217" i="18"/>
  <c r="E216" i="18"/>
  <c r="E215" i="18"/>
  <c r="E214" i="18"/>
  <c r="E213" i="18"/>
  <c r="E212" i="18"/>
  <c r="E210" i="18"/>
  <c r="E209" i="18"/>
  <c r="E208" i="18"/>
  <c r="E207" i="18"/>
  <c r="E206" i="18"/>
  <c r="E205" i="18"/>
  <c r="E204" i="18"/>
  <c r="E203" i="18"/>
  <c r="E202" i="18"/>
  <c r="E201" i="18"/>
  <c r="E200" i="18"/>
  <c r="E199" i="18"/>
  <c r="E194" i="18"/>
  <c r="E193" i="18"/>
  <c r="E192" i="18"/>
  <c r="E191" i="18"/>
  <c r="E187" i="18"/>
  <c r="E186" i="18"/>
  <c r="E185" i="18"/>
  <c r="E184" i="18"/>
  <c r="E173" i="18"/>
  <c r="E172" i="18"/>
  <c r="E171" i="18"/>
  <c r="E170" i="18"/>
  <c r="E166" i="18"/>
  <c r="E165" i="18"/>
  <c r="E164" i="18"/>
  <c r="E163" i="18"/>
  <c r="E159" i="18"/>
  <c r="E158" i="18"/>
  <c r="E157" i="18"/>
  <c r="E156" i="18"/>
  <c r="E152" i="18"/>
  <c r="E151" i="18"/>
  <c r="E150" i="18"/>
  <c r="E149" i="18"/>
  <c r="E145" i="18"/>
  <c r="E144" i="18"/>
  <c r="E143" i="18"/>
  <c r="E142" i="18"/>
  <c r="E138" i="18"/>
  <c r="E137" i="18"/>
  <c r="E136" i="18"/>
  <c r="E135" i="18"/>
  <c r="E131" i="18"/>
  <c r="E130" i="18"/>
  <c r="E129" i="18"/>
  <c r="E128" i="18"/>
  <c r="E124" i="18"/>
  <c r="E123" i="18"/>
  <c r="E122" i="18"/>
  <c r="E121" i="18"/>
  <c r="E117" i="18"/>
  <c r="E116" i="18"/>
  <c r="E115" i="18"/>
  <c r="E114" i="18"/>
  <c r="E110" i="18"/>
  <c r="E109" i="18"/>
  <c r="E108" i="18"/>
  <c r="E107" i="18"/>
  <c r="E105" i="18"/>
  <c r="E104" i="18"/>
  <c r="E103" i="18"/>
  <c r="E102" i="18"/>
  <c r="E101" i="18"/>
  <c r="E100" i="18"/>
  <c r="E99" i="18"/>
  <c r="E98" i="18"/>
  <c r="E97" i="18"/>
  <c r="E96" i="18"/>
  <c r="E95" i="18"/>
  <c r="E94" i="18"/>
  <c r="E89" i="18"/>
  <c r="E88" i="18"/>
  <c r="E87" i="18"/>
  <c r="E86" i="18"/>
  <c r="E82" i="18"/>
  <c r="E81" i="18"/>
  <c r="E80" i="18"/>
  <c r="E79" i="18"/>
  <c r="E68" i="18"/>
  <c r="E67" i="18"/>
  <c r="E66" i="18"/>
  <c r="E65" i="18"/>
  <c r="E61" i="18"/>
  <c r="E60" i="18"/>
  <c r="E59" i="18"/>
  <c r="E58" i="18"/>
  <c r="E54" i="18"/>
  <c r="E53" i="18"/>
  <c r="E52" i="18"/>
  <c r="E51" i="18"/>
  <c r="E47" i="18"/>
  <c r="E46" i="18"/>
  <c r="E45" i="18"/>
  <c r="E44" i="18"/>
  <c r="E40" i="18"/>
  <c r="E39" i="18"/>
  <c r="E38" i="18"/>
  <c r="E37" i="18"/>
  <c r="E33" i="18"/>
  <c r="E32" i="18"/>
  <c r="E31" i="18"/>
  <c r="E30" i="18"/>
  <c r="E26" i="18"/>
  <c r="E25" i="18"/>
  <c r="E24" i="18"/>
  <c r="E23" i="18"/>
  <c r="E19" i="18"/>
  <c r="E18" i="18"/>
  <c r="E17" i="18"/>
  <c r="E16" i="18"/>
  <c r="E12" i="18"/>
  <c r="E11" i="18"/>
  <c r="E10" i="18"/>
  <c r="E9" i="18"/>
  <c r="E5" i="18"/>
  <c r="E4" i="18"/>
  <c r="E3" i="18"/>
  <c r="E2" i="18"/>
  <c r="Y21" i="21"/>
  <c r="Y20" i="21"/>
  <c r="Y19" i="21"/>
  <c r="Y18" i="21"/>
  <c r="Y17" i="21"/>
  <c r="Y16" i="21"/>
  <c r="Y15" i="21"/>
  <c r="Y14" i="21"/>
  <c r="Y13" i="21"/>
  <c r="Y12" i="21"/>
  <c r="Y11" i="21"/>
  <c r="Y10" i="21"/>
  <c r="Y9" i="21"/>
  <c r="Y8" i="21"/>
  <c r="Y7" i="21"/>
  <c r="Y6" i="21"/>
  <c r="Y5" i="21"/>
  <c r="Y4" i="21"/>
  <c r="A11" i="17"/>
  <c r="B11" i="17" s="1"/>
  <c r="B3" i="20"/>
  <c r="B2" i="20"/>
  <c r="C7" i="20" s="1"/>
  <c r="B1" i="20"/>
  <c r="D39" i="25"/>
  <c r="C39" i="25"/>
  <c r="L1" i="25"/>
  <c r="H1" i="25"/>
  <c r="C1" i="25"/>
  <c r="J23" i="24"/>
  <c r="I23" i="24"/>
  <c r="F23" i="24"/>
  <c r="J22" i="24"/>
  <c r="I22" i="24"/>
  <c r="F22" i="24"/>
  <c r="J18" i="24"/>
  <c r="I18" i="24"/>
  <c r="N15" i="24"/>
  <c r="I1" i="24"/>
  <c r="F1" i="24"/>
  <c r="B1" i="24"/>
  <c r="H45" i="23"/>
  <c r="G43" i="23"/>
  <c r="F43" i="23"/>
  <c r="E43" i="23"/>
  <c r="D43" i="23"/>
  <c r="G42" i="23"/>
  <c r="G41" i="23"/>
  <c r="N40" i="23"/>
  <c r="G40" i="23"/>
  <c r="G39" i="23"/>
  <c r="G38" i="23"/>
  <c r="P32" i="23"/>
  <c r="O32" i="23"/>
  <c r="N32" i="23"/>
  <c r="M32" i="23"/>
  <c r="L32" i="23"/>
  <c r="P31" i="23"/>
  <c r="O31" i="23"/>
  <c r="N31" i="23"/>
  <c r="M31" i="23"/>
  <c r="L31" i="23"/>
  <c r="J31" i="23"/>
  <c r="E28" i="23"/>
  <c r="O22" i="23"/>
  <c r="L19" i="23"/>
  <c r="M17" i="23" a="1"/>
  <c r="M17" i="23" s="1"/>
  <c r="K17" i="23" a="1"/>
  <c r="K17" i="23" s="1"/>
  <c r="J17" i="23" a="1"/>
  <c r="J17" i="23" s="1"/>
  <c r="H17" i="23" a="1"/>
  <c r="H17" i="23" s="1"/>
  <c r="G17" i="23" a="1"/>
  <c r="G17" i="23" s="1"/>
  <c r="F17" i="23" a="1"/>
  <c r="F17" i="23" s="1"/>
  <c r="E17" i="23" a="1"/>
  <c r="E17" i="23" s="1"/>
  <c r="D17" i="23" a="1"/>
  <c r="D17" i="23" s="1"/>
  <c r="M16" i="23" a="1"/>
  <c r="M16" i="23" s="1"/>
  <c r="K16" i="23" a="1"/>
  <c r="K16" i="23" s="1"/>
  <c r="J16" i="23" a="1"/>
  <c r="J16" i="23" s="1"/>
  <c r="H16" i="23" a="1"/>
  <c r="H16" i="23" s="1"/>
  <c r="G16" i="23" a="1"/>
  <c r="G16" i="23" s="1"/>
  <c r="F16" i="23" a="1"/>
  <c r="F16" i="23" s="1"/>
  <c r="E16" i="23" a="1"/>
  <c r="E16" i="23" s="1"/>
  <c r="D16" i="23" a="1"/>
  <c r="D16" i="23" s="1"/>
  <c r="K15" i="23" a="1"/>
  <c r="K15" i="23" s="1"/>
  <c r="J15" i="23" a="1"/>
  <c r="J15" i="23" s="1"/>
  <c r="H15" i="23" a="1"/>
  <c r="H15" i="23" s="1"/>
  <c r="G15" i="23" a="1"/>
  <c r="G15" i="23" s="1"/>
  <c r="F15" i="23" a="1"/>
  <c r="F15" i="23" s="1"/>
  <c r="E15" i="23" a="1"/>
  <c r="E15" i="23" s="1"/>
  <c r="D15" i="23" a="1"/>
  <c r="D15" i="23" s="1"/>
  <c r="K14" i="23" a="1"/>
  <c r="K14" i="23" s="1"/>
  <c r="J14" i="23" a="1"/>
  <c r="J14" i="23" s="1"/>
  <c r="H14" i="23" a="1"/>
  <c r="H14" i="23" s="1"/>
  <c r="G14" i="23" a="1"/>
  <c r="G14" i="23" s="1"/>
  <c r="F14" i="23" a="1"/>
  <c r="F14" i="23" s="1"/>
  <c r="E14" i="23" a="1"/>
  <c r="E14" i="23" s="1"/>
  <c r="D14" i="23" a="1"/>
  <c r="D14" i="23" s="1"/>
  <c r="K13" i="23" a="1"/>
  <c r="K13" i="23" s="1"/>
  <c r="J13" i="23" a="1"/>
  <c r="J13" i="23" s="1"/>
  <c r="H13" i="23" a="1"/>
  <c r="H13" i="23" s="1"/>
  <c r="G13" i="23" a="1"/>
  <c r="G13" i="23" s="1"/>
  <c r="F13" i="23" a="1"/>
  <c r="F13" i="23" s="1"/>
  <c r="E13" i="23" a="1"/>
  <c r="E13" i="23" s="1"/>
  <c r="D13" i="23" a="1"/>
  <c r="D13" i="23" s="1"/>
  <c r="AA12" i="23" a="1"/>
  <c r="AA12" i="23" s="1"/>
  <c r="M12" i="23" s="1" a="1"/>
  <c r="M12" i="23" s="1"/>
  <c r="K12" i="23" a="1"/>
  <c r="K12" i="23" s="1"/>
  <c r="J12" i="23" a="1"/>
  <c r="J12" i="23" s="1"/>
  <c r="I12" i="23" a="1"/>
  <c r="I12" i="23" s="1"/>
  <c r="I19" i="23" s="1"/>
  <c r="H12" i="23" a="1"/>
  <c r="H12" i="23" s="1"/>
  <c r="G12" i="23" a="1"/>
  <c r="G12" i="23" s="1"/>
  <c r="F12" i="23" a="1"/>
  <c r="F12" i="23" s="1"/>
  <c r="E12" i="23" a="1"/>
  <c r="E12" i="23" s="1"/>
  <c r="D12" i="23" a="1"/>
  <c r="D12" i="23" s="1"/>
  <c r="M11" i="23" a="1"/>
  <c r="M11" i="23" s="1"/>
  <c r="K11" i="23" a="1"/>
  <c r="K11" i="23" s="1"/>
  <c r="J11" i="23" a="1"/>
  <c r="J11" i="23" s="1"/>
  <c r="H11" i="23" a="1"/>
  <c r="H11" i="23" s="1"/>
  <c r="G11" i="23" a="1"/>
  <c r="G11" i="23" s="1"/>
  <c r="F11" i="23" a="1"/>
  <c r="F11" i="23" s="1"/>
  <c r="E11" i="23" a="1"/>
  <c r="E11" i="23" s="1"/>
  <c r="D11" i="23" a="1"/>
  <c r="D11" i="23" s="1"/>
  <c r="M10" i="23" a="1"/>
  <c r="M10" i="23" s="1"/>
  <c r="K10" i="23" a="1"/>
  <c r="K10" i="23" s="1"/>
  <c r="J10" i="23" a="1"/>
  <c r="J10" i="23" s="1"/>
  <c r="H10" i="23" a="1"/>
  <c r="H10" i="23" s="1"/>
  <c r="G10" i="23" a="1"/>
  <c r="G10" i="23" s="1"/>
  <c r="G18" i="23" s="1" a="1"/>
  <c r="F10" i="23" a="1"/>
  <c r="F10" i="23" s="1"/>
  <c r="E10" i="23" a="1"/>
  <c r="E10" i="23" s="1"/>
  <c r="D10" i="23" a="1"/>
  <c r="D10" i="23" s="1"/>
  <c r="L1" i="23"/>
  <c r="H1" i="23"/>
  <c r="B1" i="23"/>
  <c r="K39" i="15"/>
  <c r="D35" i="15" a="1"/>
  <c r="D35" i="15" s="1"/>
  <c r="D34" i="15" a="1"/>
  <c r="D34" i="15" s="1"/>
  <c r="D33" i="15" a="1"/>
  <c r="D33" i="15" s="1"/>
  <c r="K23" i="15"/>
  <c r="AA12" i="15"/>
  <c r="AA11" i="15"/>
  <c r="K1" i="15"/>
  <c r="F1" i="15"/>
  <c r="B1" i="15"/>
  <c r="M42" i="4"/>
  <c r="L42" i="4"/>
  <c r="I42" i="4"/>
  <c r="M40" i="4"/>
  <c r="L40" i="4"/>
  <c r="I40" i="4"/>
  <c r="K39" i="4"/>
  <c r="G39" i="4"/>
  <c r="K38" i="4"/>
  <c r="G38" i="4"/>
  <c r="K37" i="4"/>
  <c r="G37" i="4"/>
  <c r="K36" i="4"/>
  <c r="G36" i="4"/>
  <c r="K35" i="4"/>
  <c r="G35" i="4"/>
  <c r="K34" i="4"/>
  <c r="G34" i="4"/>
  <c r="K33" i="4"/>
  <c r="G33" i="4"/>
  <c r="K32" i="4"/>
  <c r="G32" i="4"/>
  <c r="K31" i="4"/>
  <c r="G31" i="4"/>
  <c r="K30" i="4"/>
  <c r="G30" i="4"/>
  <c r="K29" i="4"/>
  <c r="G29" i="4"/>
  <c r="K28" i="4"/>
  <c r="J40" i="4"/>
  <c r="G23" i="24" s="1"/>
  <c r="G28" i="4"/>
  <c r="Z25" i="4" a="1"/>
  <c r="Z25" i="4" s="1"/>
  <c r="Q25" i="4" a="1"/>
  <c r="Q25" i="4" s="1"/>
  <c r="K25" i="4" a="1"/>
  <c r="K25" i="4" s="1"/>
  <c r="H25" i="4" a="1"/>
  <c r="H25" i="4" s="1"/>
  <c r="M23" i="4"/>
  <c r="L23" i="4"/>
  <c r="I23" i="4"/>
  <c r="B22" i="24"/>
  <c r="K22" i="4"/>
  <c r="H22" i="4"/>
  <c r="G22" i="4"/>
  <c r="K21" i="4"/>
  <c r="H21" i="4"/>
  <c r="G21" i="4"/>
  <c r="K20" i="4"/>
  <c r="H20" i="4"/>
  <c r="G20" i="4"/>
  <c r="K19" i="4"/>
  <c r="H19" i="4"/>
  <c r="G19" i="4"/>
  <c r="K18" i="4"/>
  <c r="H18" i="4"/>
  <c r="G18" i="4"/>
  <c r="K17" i="4"/>
  <c r="H17" i="4"/>
  <c r="G17" i="4"/>
  <c r="K16" i="4"/>
  <c r="H16" i="4"/>
  <c r="G16" i="4"/>
  <c r="K15" i="4"/>
  <c r="H15" i="4"/>
  <c r="G15" i="4"/>
  <c r="K14" i="4"/>
  <c r="H14" i="4"/>
  <c r="G14" i="4"/>
  <c r="K13" i="4"/>
  <c r="H13" i="4"/>
  <c r="G13" i="4"/>
  <c r="K12" i="4"/>
  <c r="H12" i="4"/>
  <c r="G12" i="4"/>
  <c r="AC11" i="4"/>
  <c r="K11" i="4"/>
  <c r="H11" i="4"/>
  <c r="G11" i="4"/>
  <c r="K10" i="4"/>
  <c r="H10" i="4"/>
  <c r="G10" i="4"/>
  <c r="K9" i="4"/>
  <c r="H9" i="4"/>
  <c r="G9" i="4"/>
  <c r="AC8" i="4"/>
  <c r="K8" i="4"/>
  <c r="H8" i="4"/>
  <c r="G8" i="4"/>
  <c r="AC7" i="4"/>
  <c r="K7" i="4"/>
  <c r="H7" i="4"/>
  <c r="G7" i="4"/>
  <c r="AC6" i="4"/>
  <c r="K6" i="4"/>
  <c r="H6" i="4"/>
  <c r="G6" i="4"/>
  <c r="N1" i="4"/>
  <c r="H1" i="4"/>
  <c r="B1" i="4"/>
  <c r="D19" i="5"/>
  <c r="R11" i="5"/>
  <c r="Q11" i="5"/>
  <c r="P11" i="5"/>
  <c r="O11" i="5"/>
  <c r="N11" i="5"/>
  <c r="M11" i="5"/>
  <c r="L11" i="5"/>
  <c r="K11" i="5"/>
  <c r="J11" i="5"/>
  <c r="I11" i="5"/>
  <c r="H11" i="5"/>
  <c r="G11" i="5"/>
  <c r="F11" i="5"/>
  <c r="E11" i="5"/>
  <c r="R10" i="5"/>
  <c r="AA9" i="5"/>
  <c r="R9" i="5"/>
  <c r="AA8" i="5"/>
  <c r="R8" i="5"/>
  <c r="V1" i="5"/>
  <c r="L1" i="5"/>
  <c r="D1" i="5"/>
  <c r="F29" i="6"/>
  <c r="G20" i="6"/>
  <c r="G11" i="6"/>
  <c r="F11" i="6"/>
  <c r="AA9" i="6"/>
  <c r="AA8" i="6"/>
  <c r="U1" i="6"/>
  <c r="L1" i="6"/>
  <c r="C1" i="6"/>
  <c r="M47" i="14"/>
  <c r="L47" i="14"/>
  <c r="K47" i="14"/>
  <c r="J47" i="14"/>
  <c r="I47" i="14"/>
  <c r="M43" i="14"/>
  <c r="L43" i="14"/>
  <c r="K43" i="14"/>
  <c r="J43" i="14"/>
  <c r="I43" i="14"/>
  <c r="M42" i="14"/>
  <c r="L42" i="14"/>
  <c r="K42" i="14"/>
  <c r="J42" i="14"/>
  <c r="I42" i="14"/>
  <c r="M41" i="14"/>
  <c r="L41" i="14"/>
  <c r="K41" i="14"/>
  <c r="J41" i="14"/>
  <c r="I41" i="14"/>
  <c r="M40" i="14"/>
  <c r="L40" i="14"/>
  <c r="K40" i="14"/>
  <c r="J40" i="14"/>
  <c r="I40" i="14"/>
  <c r="M39" i="14"/>
  <c r="L39" i="14"/>
  <c r="K39" i="14"/>
  <c r="J39" i="14"/>
  <c r="I39" i="14"/>
  <c r="M38" i="14"/>
  <c r="L38" i="14"/>
  <c r="K38" i="14"/>
  <c r="J38" i="14"/>
  <c r="I38" i="14"/>
  <c r="M37" i="14"/>
  <c r="L37" i="14"/>
  <c r="K37" i="14"/>
  <c r="J37" i="14"/>
  <c r="I37" i="14"/>
  <c r="M35" i="14"/>
  <c r="L35" i="14"/>
  <c r="K35" i="14"/>
  <c r="J35" i="14"/>
  <c r="I35" i="14"/>
  <c r="H31" i="14"/>
  <c r="H30" i="14"/>
  <c r="M25" i="14"/>
  <c r="L25" i="14"/>
  <c r="K25" i="14"/>
  <c r="J25" i="14"/>
  <c r="I25" i="14"/>
  <c r="M21" i="14"/>
  <c r="L21" i="14"/>
  <c r="K21" i="14"/>
  <c r="J21" i="14"/>
  <c r="I21" i="14"/>
  <c r="M20" i="14"/>
  <c r="L20" i="14"/>
  <c r="K20" i="14"/>
  <c r="J20" i="14"/>
  <c r="I20" i="14"/>
  <c r="M19" i="14"/>
  <c r="L19" i="14"/>
  <c r="K19" i="14"/>
  <c r="J19" i="14"/>
  <c r="I19" i="14"/>
  <c r="M18" i="14"/>
  <c r="L18" i="14"/>
  <c r="K18" i="14"/>
  <c r="J18" i="14"/>
  <c r="I18" i="14"/>
  <c r="M17" i="14"/>
  <c r="L17" i="14"/>
  <c r="K17" i="14"/>
  <c r="J17" i="14"/>
  <c r="I17" i="14"/>
  <c r="M16" i="14"/>
  <c r="L16" i="14"/>
  <c r="K16" i="14"/>
  <c r="J16" i="14"/>
  <c r="I16" i="14"/>
  <c r="M15" i="14"/>
  <c r="L15" i="14"/>
  <c r="K15" i="14"/>
  <c r="J15" i="14"/>
  <c r="I15" i="14"/>
  <c r="M13" i="14"/>
  <c r="L13" i="14"/>
  <c r="K13" i="14"/>
  <c r="J13" i="14"/>
  <c r="I13" i="14"/>
  <c r="H9" i="14"/>
  <c r="H8" i="14"/>
  <c r="P1" i="14"/>
  <c r="K1" i="14"/>
  <c r="D1" i="14"/>
  <c r="G29" i="12"/>
  <c r="F17" i="12"/>
  <c r="G11" i="12"/>
  <c r="F11" i="12"/>
  <c r="I10" i="12"/>
  <c r="I9" i="12"/>
  <c r="I8" i="12"/>
  <c r="AA7" i="12"/>
  <c r="I7" i="12"/>
  <c r="M1" i="12"/>
  <c r="H1" i="12"/>
  <c r="C1" i="12"/>
  <c r="F27" i="22"/>
  <c r="F26" i="22"/>
  <c r="G18" i="22"/>
  <c r="H43" i="7" s="1"/>
  <c r="AA18" i="22"/>
  <c r="H12" i="22"/>
  <c r="G12" i="22"/>
  <c r="F12" i="22"/>
  <c r="H11" i="22"/>
  <c r="K11" i="22" s="1"/>
  <c r="I10" i="22"/>
  <c r="H10" i="22"/>
  <c r="G10" i="22"/>
  <c r="F10" i="22"/>
  <c r="I9" i="22"/>
  <c r="H9" i="22"/>
  <c r="G9" i="22"/>
  <c r="F9" i="22"/>
  <c r="I8" i="22"/>
  <c r="H8" i="22"/>
  <c r="G8" i="22"/>
  <c r="F8" i="22"/>
  <c r="J1" i="22"/>
  <c r="G1" i="22"/>
  <c r="D1" i="22"/>
  <c r="J44" i="7"/>
  <c r="G16" i="24"/>
  <c r="H41" i="7"/>
  <c r="G41" i="7"/>
  <c r="F41" i="7"/>
  <c r="E41" i="7"/>
  <c r="D41" i="7"/>
  <c r="G15" i="24"/>
  <c r="H40" i="7"/>
  <c r="G40" i="7"/>
  <c r="F40" i="7"/>
  <c r="E40" i="7"/>
  <c r="D40" i="7"/>
  <c r="G14" i="24"/>
  <c r="H39" i="7"/>
  <c r="G39" i="7"/>
  <c r="F39" i="7"/>
  <c r="E39" i="7"/>
  <c r="D39" i="7"/>
  <c r="G13" i="24"/>
  <c r="H38" i="7"/>
  <c r="G38" i="7"/>
  <c r="F38" i="7"/>
  <c r="E38" i="7"/>
  <c r="D38" i="7"/>
  <c r="H36" i="7"/>
  <c r="G36" i="7"/>
  <c r="F36" i="7"/>
  <c r="E36" i="7"/>
  <c r="D36" i="7"/>
  <c r="H35" i="7"/>
  <c r="G35" i="7"/>
  <c r="F35" i="7"/>
  <c r="E35" i="7"/>
  <c r="D35" i="7"/>
  <c r="H34" i="7"/>
  <c r="G34" i="7"/>
  <c r="F34" i="7"/>
  <c r="E34" i="7"/>
  <c r="D34" i="7"/>
  <c r="H33" i="7"/>
  <c r="G33" i="7"/>
  <c r="F33" i="7"/>
  <c r="E33" i="7"/>
  <c r="D33" i="7"/>
  <c r="H32" i="7"/>
  <c r="G32" i="7"/>
  <c r="F32" i="7"/>
  <c r="E32" i="7"/>
  <c r="D32" i="7"/>
  <c r="H31" i="7"/>
  <c r="G31" i="7"/>
  <c r="F31" i="7"/>
  <c r="E31" i="7"/>
  <c r="D31" i="7"/>
  <c r="H30" i="7"/>
  <c r="G30" i="7"/>
  <c r="F30" i="7"/>
  <c r="E30" i="7"/>
  <c r="D30" i="7"/>
  <c r="H29" i="7"/>
  <c r="G29" i="7"/>
  <c r="F29" i="7"/>
  <c r="E29" i="7"/>
  <c r="D29" i="7"/>
  <c r="H28" i="7"/>
  <c r="G28" i="7"/>
  <c r="F28" i="7"/>
  <c r="E28" i="7"/>
  <c r="D28" i="7"/>
  <c r="H27" i="7"/>
  <c r="G27" i="7"/>
  <c r="F27" i="7"/>
  <c r="E27" i="7"/>
  <c r="D27" i="7"/>
  <c r="K37" i="7"/>
  <c r="H25" i="7"/>
  <c r="G25" i="7"/>
  <c r="F25" i="7"/>
  <c r="E25" i="7"/>
  <c r="D25" i="7"/>
  <c r="H22" i="7"/>
  <c r="G22" i="7"/>
  <c r="F22" i="7"/>
  <c r="E22" i="7"/>
  <c r="D22" i="7"/>
  <c r="H21" i="7"/>
  <c r="G21" i="7"/>
  <c r="F21" i="7"/>
  <c r="E21" i="7"/>
  <c r="D21" i="7"/>
  <c r="H20" i="7"/>
  <c r="G20" i="7"/>
  <c r="F20" i="7"/>
  <c r="E20" i="7"/>
  <c r="D20" i="7"/>
  <c r="H19" i="7"/>
  <c r="G19" i="7"/>
  <c r="F19" i="7"/>
  <c r="E19" i="7"/>
  <c r="D19" i="7"/>
  <c r="H18" i="7"/>
  <c r="G18" i="7"/>
  <c r="F18" i="7"/>
  <c r="E18" i="7"/>
  <c r="D18" i="7"/>
  <c r="H17" i="7"/>
  <c r="G17" i="7"/>
  <c r="F17" i="7"/>
  <c r="E17" i="7"/>
  <c r="D17" i="7"/>
  <c r="H16" i="7"/>
  <c r="G16" i="7"/>
  <c r="F16" i="7"/>
  <c r="E16" i="7"/>
  <c r="D16" i="7"/>
  <c r="H15" i="7"/>
  <c r="G15" i="7"/>
  <c r="F15" i="7"/>
  <c r="E15" i="7"/>
  <c r="D15" i="7"/>
  <c r="H14" i="7"/>
  <c r="G14" i="7"/>
  <c r="F14" i="7"/>
  <c r="E14" i="7"/>
  <c r="D14" i="7"/>
  <c r="H13" i="7"/>
  <c r="G13" i="7"/>
  <c r="F13" i="7"/>
  <c r="E13" i="7"/>
  <c r="D13" i="7"/>
  <c r="H12" i="7"/>
  <c r="G12" i="7"/>
  <c r="F12" i="7"/>
  <c r="E12" i="7"/>
  <c r="D12" i="7"/>
  <c r="H11" i="7"/>
  <c r="G11" i="7"/>
  <c r="F11" i="7"/>
  <c r="E11" i="7"/>
  <c r="D11" i="7"/>
  <c r="H10" i="7"/>
  <c r="G10" i="7"/>
  <c r="F10" i="7"/>
  <c r="E10" i="7"/>
  <c r="D10" i="7"/>
  <c r="K23" i="7"/>
  <c r="H9" i="7"/>
  <c r="G9" i="7"/>
  <c r="F9" i="7"/>
  <c r="E9" i="7"/>
  <c r="D9" i="7"/>
  <c r="H7" i="7"/>
  <c r="G7" i="7"/>
  <c r="G34" i="6" s="1"/>
  <c r="F7" i="7"/>
  <c r="E7" i="7"/>
  <c r="D7" i="7"/>
  <c r="L1" i="7"/>
  <c r="G1" i="7"/>
  <c r="B1" i="7"/>
  <c r="H40" i="8"/>
  <c r="H41" i="8" s="1"/>
  <c r="H39" i="8"/>
  <c r="H38" i="8"/>
  <c r="H37" i="8"/>
  <c r="H36" i="8"/>
  <c r="H35" i="8"/>
  <c r="H32" i="8"/>
  <c r="H33" i="8" s="1"/>
  <c r="H31" i="8"/>
  <c r="H30" i="8"/>
  <c r="H29" i="8"/>
  <c r="H28" i="8"/>
  <c r="H25" i="8"/>
  <c r="H26" i="8" s="1"/>
  <c r="H24" i="8"/>
  <c r="H23" i="8"/>
  <c r="H20" i="8"/>
  <c r="H21" i="8" s="1"/>
  <c r="H17" i="8"/>
  <c r="H15" i="8"/>
  <c r="H14" i="8"/>
  <c r="H13" i="8"/>
  <c r="H12" i="8"/>
  <c r="H11" i="8"/>
  <c r="J10" i="8"/>
  <c r="H9" i="8"/>
  <c r="H8" i="8"/>
  <c r="H7" i="8"/>
  <c r="H6" i="8"/>
  <c r="H5" i="8"/>
  <c r="M1" i="8"/>
  <c r="H1" i="8"/>
  <c r="C1" i="8"/>
  <c r="I11" i="12" l="1"/>
  <c r="H19" i="24" s="1"/>
  <c r="E481" i="18"/>
  <c r="H43" i="8"/>
  <c r="AA13" i="15"/>
  <c r="AA14" i="15" s="1"/>
  <c r="D18" i="23" a="1"/>
  <c r="D18" i="23" s="1"/>
  <c r="D19" i="23" s="1"/>
  <c r="E1449" i="18"/>
  <c r="F18" i="23" a="1"/>
  <c r="F18" i="23" s="1"/>
  <c r="F19" i="23" s="1"/>
  <c r="D19" i="24"/>
  <c r="F18" i="12"/>
  <c r="E636" i="18"/>
  <c r="G11" i="15" s="1"/>
  <c r="E692" i="18"/>
  <c r="G19" i="15" s="1"/>
  <c r="E1014" i="18"/>
  <c r="H21" i="15" s="1"/>
  <c r="E64" i="18"/>
  <c r="D19" i="15" s="1"/>
  <c r="E1109" i="18"/>
  <c r="H10" i="8"/>
  <c r="L10" i="8" s="1"/>
  <c r="F42" i="4"/>
  <c r="H32" i="14"/>
  <c r="H48" i="14" s="1"/>
  <c r="I37" i="7"/>
  <c r="H11" i="12"/>
  <c r="G19" i="24" s="1"/>
  <c r="N22" i="14"/>
  <c r="N26" i="14" s="1"/>
  <c r="G20" i="24" s="1"/>
  <c r="N44" i="14"/>
  <c r="N48" i="14" s="1"/>
  <c r="G21" i="24" s="1"/>
  <c r="F20" i="6"/>
  <c r="I23" i="7"/>
  <c r="G11" i="24" s="1"/>
  <c r="J23" i="4"/>
  <c r="G22" i="24" s="1"/>
  <c r="S23" i="5"/>
  <c r="F28" i="22"/>
  <c r="N33" i="4"/>
  <c r="E643" i="18"/>
  <c r="G13" i="15" s="1"/>
  <c r="E671" i="18"/>
  <c r="N38" i="4"/>
  <c r="N39" i="4"/>
  <c r="N7" i="4"/>
  <c r="N22" i="4"/>
  <c r="N28" i="4"/>
  <c r="N34" i="4"/>
  <c r="N36" i="4"/>
  <c r="N6" i="4"/>
  <c r="H23" i="7"/>
  <c r="J14" i="7"/>
  <c r="G23" i="7"/>
  <c r="J21" i="7"/>
  <c r="H37" i="7"/>
  <c r="J31" i="7"/>
  <c r="L31" i="7" s="1"/>
  <c r="H23" i="4"/>
  <c r="E22" i="24" s="1"/>
  <c r="N21" i="4"/>
  <c r="K40" i="4"/>
  <c r="H23" i="24" s="1"/>
  <c r="E454" i="18"/>
  <c r="F19" i="15" s="1"/>
  <c r="E1489" i="18"/>
  <c r="E1504" i="18"/>
  <c r="J36" i="7"/>
  <c r="L36" i="7" s="1"/>
  <c r="F13" i="22"/>
  <c r="D43" i="7" s="1"/>
  <c r="H10" i="14"/>
  <c r="H26" i="14" s="1"/>
  <c r="N13" i="4"/>
  <c r="N18" i="4"/>
  <c r="N9" i="4"/>
  <c r="G25" i="4"/>
  <c r="N25" i="4" s="1"/>
  <c r="G40" i="4"/>
  <c r="D23" i="24" s="1"/>
  <c r="N31" i="4"/>
  <c r="N35" i="4"/>
  <c r="E162" i="18"/>
  <c r="E18" i="15" s="1"/>
  <c r="E176" i="18"/>
  <c r="E21" i="15" s="1"/>
  <c r="N8" i="4"/>
  <c r="E15" i="18"/>
  <c r="D13" i="15" s="1"/>
  <c r="E120" i="18"/>
  <c r="E13" i="15" s="1"/>
  <c r="N11" i="4"/>
  <c r="N17" i="4"/>
  <c r="E155" i="18"/>
  <c r="H13" i="22"/>
  <c r="F43" i="7" s="1"/>
  <c r="N14" i="4"/>
  <c r="N19" i="4"/>
  <c r="E113" i="18"/>
  <c r="E11" i="15" s="1"/>
  <c r="G23" i="4"/>
  <c r="D22" i="24" s="1"/>
  <c r="K23" i="4"/>
  <c r="H22" i="24" s="1"/>
  <c r="E1158" i="18"/>
  <c r="O17" i="14"/>
  <c r="K10" i="22"/>
  <c r="K12" i="22"/>
  <c r="E1056" i="18"/>
  <c r="E1082" i="18"/>
  <c r="E1144" i="18"/>
  <c r="I16" i="15" s="1"/>
  <c r="E197" i="18"/>
  <c r="E26" i="15" s="1"/>
  <c r="E657" i="18"/>
  <c r="G15" i="15" s="1"/>
  <c r="E979" i="18"/>
  <c r="H16" i="15" s="1"/>
  <c r="E1123" i="18"/>
  <c r="I13" i="15" s="1"/>
  <c r="E1151" i="18"/>
  <c r="E1165" i="18"/>
  <c r="I18" i="15" s="1"/>
  <c r="E1179" i="18"/>
  <c r="I21" i="15" s="1"/>
  <c r="E720" i="18"/>
  <c r="G26" i="15" s="1"/>
  <c r="E965" i="18"/>
  <c r="H14" i="15" s="1"/>
  <c r="E1137" i="18"/>
  <c r="I15" i="15" s="1"/>
  <c r="E1454" i="18"/>
  <c r="E1484" i="18"/>
  <c r="E1523" i="18"/>
  <c r="J11" i="7"/>
  <c r="L11" i="7" s="1"/>
  <c r="J35" i="7"/>
  <c r="L35" i="7" s="1"/>
  <c r="O43" i="14"/>
  <c r="E29" i="18"/>
  <c r="D15" i="15" s="1"/>
  <c r="E71" i="18"/>
  <c r="D21" i="15" s="1"/>
  <c r="E92" i="18"/>
  <c r="D26" i="15" s="1"/>
  <c r="E190" i="18"/>
  <c r="E22" i="15" s="1"/>
  <c r="E238" i="18"/>
  <c r="F11" i="15" s="1"/>
  <c r="E1028" i="18"/>
  <c r="H22" i="15" s="1"/>
  <c r="E1302" i="18"/>
  <c r="O37" i="14"/>
  <c r="E713" i="18"/>
  <c r="G22" i="15" s="1"/>
  <c r="E972" i="18"/>
  <c r="H15" i="15" s="1"/>
  <c r="E986" i="18"/>
  <c r="E1000" i="18"/>
  <c r="H18" i="15" s="1"/>
  <c r="E1200" i="18"/>
  <c r="I26" i="15" s="1"/>
  <c r="E1313" i="18"/>
  <c r="E1368" i="18"/>
  <c r="E1469" i="18"/>
  <c r="G13" i="22"/>
  <c r="E43" i="7" s="1"/>
  <c r="I13" i="22"/>
  <c r="G43" i="7" s="1"/>
  <c r="O41" i="14"/>
  <c r="E8" i="18"/>
  <c r="D11" i="15" s="1"/>
  <c r="E22" i="18"/>
  <c r="D14" i="15" s="1"/>
  <c r="E678" i="18"/>
  <c r="E958" i="18"/>
  <c r="H13" i="15" s="1"/>
  <c r="E1291" i="18"/>
  <c r="E1464" i="18"/>
  <c r="K22" i="14"/>
  <c r="K26" i="14" s="1"/>
  <c r="F45" i="7" s="1"/>
  <c r="J44" i="14"/>
  <c r="J48" i="14" s="1"/>
  <c r="E46" i="7" s="1"/>
  <c r="E1193" i="18"/>
  <c r="I22" i="15" s="1"/>
  <c r="E1258" i="18"/>
  <c r="J7" i="7"/>
  <c r="J15" i="7"/>
  <c r="L15" i="7" s="1"/>
  <c r="G37" i="7"/>
  <c r="J33" i="7"/>
  <c r="L33" i="7" s="1"/>
  <c r="O13" i="14"/>
  <c r="O19" i="14"/>
  <c r="J22" i="7"/>
  <c r="J32" i="7"/>
  <c r="L32" i="7" s="1"/>
  <c r="J22" i="14"/>
  <c r="J26" i="14" s="1"/>
  <c r="E45" i="7" s="1"/>
  <c r="O18" i="14"/>
  <c r="O25" i="14"/>
  <c r="O35" i="14"/>
  <c r="E43" i="18"/>
  <c r="E134" i="18"/>
  <c r="E15" i="15" s="1"/>
  <c r="E1007" i="18"/>
  <c r="H19" i="15" s="1"/>
  <c r="E1061" i="18"/>
  <c r="E1116" i="18"/>
  <c r="I11" i="15" s="1"/>
  <c r="E1214" i="18"/>
  <c r="I24" i="15" s="1"/>
  <c r="E1533" i="18"/>
  <c r="G18" i="23"/>
  <c r="G19" i="23" s="1"/>
  <c r="J13" i="7"/>
  <c r="J20" i="7"/>
  <c r="L20" i="7" s="1"/>
  <c r="J29" i="7"/>
  <c r="L29" i="7" s="1"/>
  <c r="J30" i="7"/>
  <c r="L30" i="7" s="1"/>
  <c r="J41" i="7"/>
  <c r="H16" i="24" s="1"/>
  <c r="L22" i="14"/>
  <c r="L26" i="14" s="1"/>
  <c r="G45" i="7" s="1"/>
  <c r="O21" i="14"/>
  <c r="K44" i="14"/>
  <c r="K48" i="14" s="1"/>
  <c r="F46" i="7" s="1"/>
  <c r="O40" i="14"/>
  <c r="O47" i="14"/>
  <c r="N13" i="23"/>
  <c r="N17" i="23"/>
  <c r="E36" i="18"/>
  <c r="D16" i="15" s="1"/>
  <c r="E50" i="18"/>
  <c r="E127" i="18"/>
  <c r="E14" i="15" s="1"/>
  <c r="E141" i="18"/>
  <c r="E16" i="15" s="1"/>
  <c r="E292" i="18"/>
  <c r="F14" i="15" s="1"/>
  <c r="E346" i="18"/>
  <c r="F16" i="15" s="1"/>
  <c r="E400" i="18"/>
  <c r="E427" i="18"/>
  <c r="F18" i="15" s="1"/>
  <c r="E576" i="18"/>
  <c r="E664" i="18"/>
  <c r="G16" i="15" s="1"/>
  <c r="E734" i="18"/>
  <c r="G24" i="15" s="1"/>
  <c r="E993" i="18"/>
  <c r="E1172" i="18"/>
  <c r="I19" i="15" s="1"/>
  <c r="E1499" i="18"/>
  <c r="J12" i="7"/>
  <c r="J19" i="7"/>
  <c r="L19" i="7" s="1"/>
  <c r="J40" i="7"/>
  <c r="H15" i="24" s="1"/>
  <c r="M22" i="14"/>
  <c r="M26" i="14" s="1"/>
  <c r="H45" i="7" s="1"/>
  <c r="O20" i="14"/>
  <c r="L44" i="14"/>
  <c r="L48" i="14" s="1"/>
  <c r="G46" i="7" s="1"/>
  <c r="O39" i="14"/>
  <c r="N11" i="23"/>
  <c r="N15" i="23"/>
  <c r="E265" i="18"/>
  <c r="F13" i="15" s="1"/>
  <c r="E373" i="18"/>
  <c r="E535" i="18"/>
  <c r="F22" i="15" s="1"/>
  <c r="E602" i="18"/>
  <c r="E1247" i="18"/>
  <c r="E1357" i="18"/>
  <c r="D37" i="7"/>
  <c r="J28" i="7"/>
  <c r="L28" i="7" s="1"/>
  <c r="J39" i="7"/>
  <c r="H14" i="24" s="1"/>
  <c r="O16" i="14"/>
  <c r="M44" i="14"/>
  <c r="M48" i="14" s="1"/>
  <c r="H46" i="7" s="1"/>
  <c r="E85" i="18"/>
  <c r="D22" i="15" s="1"/>
  <c r="E106" i="18"/>
  <c r="D24" i="15" s="1"/>
  <c r="E169" i="18"/>
  <c r="E19" i="15" s="1"/>
  <c r="E211" i="18"/>
  <c r="E24" i="15" s="1"/>
  <c r="F21" i="15"/>
  <c r="E1049" i="18"/>
  <c r="H24" i="15" s="1"/>
  <c r="E1459" i="18"/>
  <c r="E1479" i="18"/>
  <c r="E1518" i="18"/>
  <c r="J17" i="7"/>
  <c r="L17" i="7" s="1"/>
  <c r="J10" i="7"/>
  <c r="L10" i="7" s="1"/>
  <c r="J27" i="7"/>
  <c r="L26" i="7" s="1"/>
  <c r="J38" i="7"/>
  <c r="H13" i="24" s="1"/>
  <c r="O42" i="14"/>
  <c r="N12" i="23"/>
  <c r="E685" i="18"/>
  <c r="G18" i="15" s="1"/>
  <c r="E699" i="18"/>
  <c r="G21" i="15" s="1"/>
  <c r="E1035" i="18"/>
  <c r="H26" i="15" s="1"/>
  <c r="E1236" i="18"/>
  <c r="E1346" i="18"/>
  <c r="E1494" i="18"/>
  <c r="E1528" i="18"/>
  <c r="E1539" i="18"/>
  <c r="J18" i="7"/>
  <c r="L18" i="7" s="1"/>
  <c r="E23" i="7"/>
  <c r="J9" i="7"/>
  <c r="J16" i="7"/>
  <c r="L16" i="7" s="1"/>
  <c r="J34" i="7"/>
  <c r="L34" i="7" s="1"/>
  <c r="O14" i="14"/>
  <c r="O38" i="14"/>
  <c r="N14" i="23"/>
  <c r="E57" i="18"/>
  <c r="D18" i="15" s="1"/>
  <c r="E148" i="18"/>
  <c r="E319" i="18"/>
  <c r="F15" i="15" s="1"/>
  <c r="E589" i="18"/>
  <c r="E951" i="18"/>
  <c r="H11" i="15" s="1"/>
  <c r="E1130" i="18"/>
  <c r="I14" i="15" s="1"/>
  <c r="E1280" i="18"/>
  <c r="E1388" i="18"/>
  <c r="E1474" i="18"/>
  <c r="F37" i="7"/>
  <c r="N16" i="23"/>
  <c r="E562" i="18"/>
  <c r="F26" i="15" s="1"/>
  <c r="E650" i="18"/>
  <c r="G14" i="15" s="1"/>
  <c r="E1225" i="18"/>
  <c r="E1269" i="18"/>
  <c r="E1335" i="18"/>
  <c r="D36" i="15" s="1"/>
  <c r="F23" i="7"/>
  <c r="K9" i="22"/>
  <c r="I22" i="14"/>
  <c r="I26" i="14" s="1"/>
  <c r="D45" i="7" s="1"/>
  <c r="I44" i="14"/>
  <c r="I48" i="14" s="1"/>
  <c r="D46" i="7" s="1"/>
  <c r="N12" i="4"/>
  <c r="N30" i="4"/>
  <c r="N37" i="4"/>
  <c r="D23" i="7"/>
  <c r="J25" i="7"/>
  <c r="E37" i="7"/>
  <c r="K8" i="22"/>
  <c r="N15" i="4"/>
  <c r="N32" i="4"/>
  <c r="AA20" i="8"/>
  <c r="N10" i="23"/>
  <c r="N10" i="4"/>
  <c r="N20" i="4"/>
  <c r="N29" i="4"/>
  <c r="L44" i="7"/>
  <c r="N16" i="4"/>
  <c r="J13" i="22"/>
  <c r="G18" i="24" s="1"/>
  <c r="K42" i="7"/>
  <c r="E23" i="4"/>
  <c r="T31" i="6"/>
  <c r="T32" i="6" s="1"/>
  <c r="E40" i="4"/>
  <c r="B23" i="24" s="1"/>
  <c r="C9" i="25" s="1"/>
  <c r="H18" i="23" a="1"/>
  <c r="H18" i="23" s="1"/>
  <c r="H19" i="23" s="1"/>
  <c r="J18" i="23" a="1"/>
  <c r="J18" i="23" s="1"/>
  <c r="J19" i="23" s="1"/>
  <c r="E18" i="23" a="1"/>
  <c r="E18" i="23" s="1"/>
  <c r="E19" i="23" s="1"/>
  <c r="K18" i="23" a="1"/>
  <c r="K18" i="23" s="1"/>
  <c r="K19" i="23" s="1"/>
  <c r="M18" i="23" a="1"/>
  <c r="M18" i="23" s="1"/>
  <c r="M19" i="23" s="1"/>
  <c r="E17" i="15" l="1"/>
  <c r="E23" i="15" s="1"/>
  <c r="L8" i="7"/>
  <c r="G36" i="6"/>
  <c r="L12" i="7"/>
  <c r="G35" i="6"/>
  <c r="L6" i="7"/>
  <c r="L14" i="7"/>
  <c r="G38" i="6"/>
  <c r="F19" i="12"/>
  <c r="I17" i="15"/>
  <c r="I23" i="15" s="1"/>
  <c r="E50" i="15"/>
  <c r="E48" i="15"/>
  <c r="F20" i="12"/>
  <c r="K19" i="24"/>
  <c r="I42" i="7"/>
  <c r="I48" i="7" s="1"/>
  <c r="L21" i="7"/>
  <c r="H42" i="7"/>
  <c r="G42" i="4"/>
  <c r="J14" i="15"/>
  <c r="G17" i="15"/>
  <c r="G23" i="15" s="1"/>
  <c r="H42" i="4"/>
  <c r="K42" i="4"/>
  <c r="J47" i="7" s="1"/>
  <c r="K23" i="24"/>
  <c r="J26" i="15"/>
  <c r="K22" i="24"/>
  <c r="J15" i="15"/>
  <c r="F17" i="15"/>
  <c r="F23" i="15" s="1"/>
  <c r="H17" i="15"/>
  <c r="N23" i="4"/>
  <c r="J19" i="15"/>
  <c r="L41" i="7"/>
  <c r="L40" i="7"/>
  <c r="J16" i="15"/>
  <c r="D21" i="24"/>
  <c r="D18" i="24"/>
  <c r="F29" i="22"/>
  <c r="E1534" i="18"/>
  <c r="J24" i="15"/>
  <c r="G42" i="7"/>
  <c r="D20" i="24"/>
  <c r="G12" i="24"/>
  <c r="N40" i="4"/>
  <c r="J42" i="4"/>
  <c r="J45" i="7"/>
  <c r="L45" i="7" s="1"/>
  <c r="J37" i="7"/>
  <c r="F42" i="7"/>
  <c r="J21" i="15"/>
  <c r="O22" i="14"/>
  <c r="O26" i="14" s="1"/>
  <c r="H20" i="24" s="1"/>
  <c r="J22" i="15"/>
  <c r="J18" i="15"/>
  <c r="L39" i="7"/>
  <c r="J43" i="7"/>
  <c r="E1036" i="18"/>
  <c r="H25" i="15" s="1"/>
  <c r="E42" i="7"/>
  <c r="D42" i="7"/>
  <c r="K13" i="22"/>
  <c r="F30" i="22" s="1"/>
  <c r="J13" i="15"/>
  <c r="E629" i="18"/>
  <c r="F24" i="15" s="1"/>
  <c r="E1369" i="18"/>
  <c r="J46" i="7"/>
  <c r="L46" i="7" s="1"/>
  <c r="J23" i="7"/>
  <c r="L23" i="7" s="1"/>
  <c r="D17" i="15"/>
  <c r="D23" i="15" s="1"/>
  <c r="L13" i="7"/>
  <c r="O44" i="14"/>
  <c r="O48" i="14" s="1"/>
  <c r="P48" i="14" s="1"/>
  <c r="E721" i="18"/>
  <c r="G25" i="15" s="1"/>
  <c r="L24" i="7"/>
  <c r="E1505" i="18"/>
  <c r="E198" i="18"/>
  <c r="E25" i="15" s="1"/>
  <c r="L38" i="7"/>
  <c r="E93" i="18"/>
  <c r="D25" i="15" s="1"/>
  <c r="E1201" i="18"/>
  <c r="I25" i="15" s="1"/>
  <c r="E563" i="18"/>
  <c r="N19" i="23"/>
  <c r="F45" i="23" s="1"/>
  <c r="F46" i="23" s="1"/>
  <c r="J11" i="15"/>
  <c r="N18" i="23"/>
  <c r="E42" i="4"/>
  <c r="K48" i="7"/>
  <c r="G33" i="6" l="1"/>
  <c r="G39" i="6" s="1"/>
  <c r="L47" i="7"/>
  <c r="G40" i="6"/>
  <c r="AA7" i="6" s="1"/>
  <c r="AA10" i="6" s="1"/>
  <c r="J17" i="15"/>
  <c r="J23" i="15" s="1"/>
  <c r="H12" i="24"/>
  <c r="T16" i="5"/>
  <c r="N42" i="4"/>
  <c r="H23" i="15"/>
  <c r="L37" i="7"/>
  <c r="D17" i="24"/>
  <c r="K17" i="24" s="1"/>
  <c r="P26" i="14"/>
  <c r="F31" i="22"/>
  <c r="K20" i="24"/>
  <c r="O30" i="23"/>
  <c r="H18" i="24"/>
  <c r="K18" i="24" s="1"/>
  <c r="F25" i="15"/>
  <c r="N30" i="23"/>
  <c r="H11" i="24"/>
  <c r="Q34" i="2"/>
  <c r="L43" i="7"/>
  <c r="J25" i="15"/>
  <c r="J42" i="7"/>
  <c r="L42" i="7" s="1"/>
  <c r="H21" i="24"/>
  <c r="K21" i="24" s="1"/>
  <c r="M30" i="23"/>
  <c r="L30" i="23"/>
  <c r="P30" i="23"/>
  <c r="G41" i="6" l="1"/>
  <c r="T23" i="5"/>
  <c r="AA11" i="5"/>
  <c r="AA12" i="5" s="1"/>
  <c r="Q33" i="2"/>
  <c r="C11" i="25"/>
  <c r="C21" i="25" s="1"/>
  <c r="J48" i="7"/>
  <c r="A16" i="17" s="1"/>
  <c r="B16" i="17" s="1"/>
  <c r="A4" i="17" l="1"/>
  <c r="B4" i="17" s="1"/>
  <c r="M12" i="22"/>
  <c r="B14" i="2" s="1"/>
  <c r="A13" i="17"/>
  <c r="B13" i="17" s="1"/>
  <c r="A14" i="17"/>
  <c r="B14" i="17" s="1"/>
  <c r="A15" i="17"/>
  <c r="B15" i="17" s="1"/>
  <c r="A12" i="17"/>
  <c r="B12" i="17" s="1"/>
  <c r="N10" i="7"/>
  <c r="B12" i="2" s="1"/>
  <c r="A10" i="17"/>
  <c r="B10" i="17" s="1"/>
  <c r="A7" i="17"/>
  <c r="B7" i="17" s="1"/>
  <c r="N9" i="7"/>
  <c r="B10" i="2" s="1"/>
  <c r="K11" i="12"/>
  <c r="K10" i="12"/>
  <c r="B18" i="2" s="1"/>
  <c r="H33" i="6"/>
  <c r="B16" i="2" s="1"/>
  <c r="A5" i="17"/>
  <c r="B5" i="17" s="1"/>
  <c r="L48" i="7"/>
  <c r="A8" i="17"/>
  <c r="B8" i="17" s="1"/>
  <c r="A6" i="17"/>
  <c r="B6" i="17" s="1"/>
  <c r="A3" i="17"/>
  <c r="B3" i="17" s="1"/>
  <c r="A9" i="17"/>
  <c r="B9" i="17" s="1"/>
  <c r="A1" i="17" l="1"/>
  <c r="L2" i="2"/>
  <c r="L4"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<sst xmlns="http://schemas.openxmlformats.org/spreadsheetml/2006/main" count="3397" uniqueCount="1368">
  <si>
    <t>Charter school</t>
  </si>
  <si>
    <t>County</t>
  </si>
  <si>
    <t>CTDS number</t>
  </si>
  <si>
    <t>File origination date:</t>
  </si>
  <si>
    <t>Charter name</t>
  </si>
  <si>
    <t>d.b.a. (as applicable)</t>
  </si>
  <si>
    <t>State of Arizona</t>
  </si>
  <si>
    <t>Charter School Annual Financial Report</t>
  </si>
  <si>
    <t>Education's website on</t>
  </si>
  <si>
    <t xml:space="preserve">contain(s) the data for the annual financial report </t>
  </si>
  <si>
    <t>described at left.</t>
  </si>
  <si>
    <t>Charter school official signature</t>
  </si>
  <si>
    <t>Email</t>
  </si>
  <si>
    <t>Charter school official (typed name)</t>
  </si>
  <si>
    <t>Total expenses by project</t>
  </si>
  <si>
    <t>1. Schoolwide and Other Special Projects (from page 2, line 33)</t>
  </si>
  <si>
    <t>$</t>
  </si>
  <si>
    <t>Signed</t>
  </si>
  <si>
    <t>Title</t>
  </si>
  <si>
    <t>2. Classroom Site Project (from page 2, line 34)</t>
  </si>
  <si>
    <t xml:space="preserve"> </t>
  </si>
  <si>
    <t>Revenue</t>
  </si>
  <si>
    <t>1000 Local sources</t>
  </si>
  <si>
    <t>Actual</t>
  </si>
  <si>
    <t>1.</t>
  </si>
  <si>
    <t xml:space="preserve">    1310  Tuition from individuals</t>
  </si>
  <si>
    <t>2.</t>
  </si>
  <si>
    <t xml:space="preserve">    1320  Tuition from other Arizona schools or districts</t>
  </si>
  <si>
    <t>3.</t>
  </si>
  <si>
    <t xml:space="preserve">    1410  Transportation fees from individuals</t>
  </si>
  <si>
    <t>1600 Food service revenues (from accounting data)</t>
  </si>
  <si>
    <t>4.</t>
  </si>
  <si>
    <t xml:space="preserve">    1420  Transportation fees from other Arizona schools or districts</t>
  </si>
  <si>
    <t>5.</t>
  </si>
  <si>
    <t xml:space="preserve">    1500  Earnings on investments</t>
  </si>
  <si>
    <t>6.</t>
  </si>
  <si>
    <t>7.</t>
  </si>
  <si>
    <t xml:space="preserve">    1700  School activities </t>
  </si>
  <si>
    <t>8.</t>
  </si>
  <si>
    <t xml:space="preserve">    1750  Revenue from enterprise activities</t>
  </si>
  <si>
    <t>9.</t>
  </si>
  <si>
    <t xml:space="preserve">    1790  Extracurricular activities fees tax credit</t>
  </si>
  <si>
    <t>10.</t>
  </si>
  <si>
    <t xml:space="preserve">    1800  Revenue from community services activities</t>
  </si>
  <si>
    <t>11.</t>
  </si>
  <si>
    <t>12.</t>
  </si>
  <si>
    <t xml:space="preserve">    1920  Contributions and donations from private sources</t>
  </si>
  <si>
    <t>13.</t>
  </si>
  <si>
    <t xml:space="preserve">    Other revenue from local sources (specify)</t>
  </si>
  <si>
    <t>14.</t>
  </si>
  <si>
    <t>2000 Intermediate sources</t>
  </si>
  <si>
    <t>15.</t>
  </si>
  <si>
    <t xml:space="preserve">    2100  Unrestricted</t>
  </si>
  <si>
    <t>16.</t>
  </si>
  <si>
    <t xml:space="preserve">    2200  Restricted</t>
  </si>
  <si>
    <t>17.</t>
  </si>
  <si>
    <t xml:space="preserve">    Other revenue from intermediate sources (specify)</t>
  </si>
  <si>
    <t>18.</t>
  </si>
  <si>
    <t>3000 State sources</t>
  </si>
  <si>
    <t>19.</t>
  </si>
  <si>
    <t xml:space="preserve">    3110  State Equalization Assistance</t>
  </si>
  <si>
    <t>20.</t>
  </si>
  <si>
    <t xml:space="preserve">    3130-3150  Other unrestricted</t>
  </si>
  <si>
    <t>21.</t>
  </si>
  <si>
    <t xml:space="preserve">    3200  Restricted</t>
  </si>
  <si>
    <t>22.</t>
  </si>
  <si>
    <t xml:space="preserve">    3900  Revenue for/on behalf of the school</t>
  </si>
  <si>
    <t>23.</t>
  </si>
  <si>
    <t xml:space="preserve">    Other revenue from State sources (specify)</t>
  </si>
  <si>
    <t>24.</t>
  </si>
  <si>
    <t>4000 Federal sources</t>
  </si>
  <si>
    <t>25.</t>
  </si>
  <si>
    <t xml:space="preserve">    4100, 4300  Unrestricted/restricted received directly from the federal government</t>
  </si>
  <si>
    <t>26.</t>
  </si>
  <si>
    <t xml:space="preserve">    4200, 4500  Unrestricted/restricted received from the federal government through the State</t>
  </si>
  <si>
    <t>27.</t>
  </si>
  <si>
    <t xml:space="preserve">    4700 Revenue received from the federal government through other intermediate agencies</t>
  </si>
  <si>
    <t>28.</t>
  </si>
  <si>
    <t xml:space="preserve">    4800 Federal impact aid</t>
  </si>
  <si>
    <t>29.</t>
  </si>
  <si>
    <t xml:space="preserve">    4900 Revenue for/on behalf of the school</t>
  </si>
  <si>
    <t>30.</t>
  </si>
  <si>
    <t xml:space="preserve">    Other revenue from federal sources (specify)</t>
  </si>
  <si>
    <t>31.</t>
  </si>
  <si>
    <t>32.</t>
  </si>
  <si>
    <t>Employee</t>
  </si>
  <si>
    <t>Purchased</t>
  </si>
  <si>
    <t>Totals</t>
  </si>
  <si>
    <t>% Increase/ decrease in actual</t>
  </si>
  <si>
    <t>Expenses</t>
  </si>
  <si>
    <t>Salaries</t>
  </si>
  <si>
    <t>benefits</t>
  </si>
  <si>
    <t>services</t>
  </si>
  <si>
    <t>Supplies</t>
  </si>
  <si>
    <t>Other</t>
  </si>
  <si>
    <t>Prior year</t>
  </si>
  <si>
    <t>1000 Schoolwide Project and 1500-1999 Other Special Projects</t>
  </si>
  <si>
    <t>6300, 6400, 6500</t>
  </si>
  <si>
    <t>Budget</t>
  </si>
  <si>
    <t>actual</t>
  </si>
  <si>
    <t>100 Regular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</si>
  <si>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</si>
  <si>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</si>
  <si>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</si>
  <si>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</si>
  <si>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</si>
  <si>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</si>
  <si>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</si>
  <si>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</si>
  <si>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</si>
  <si>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</si>
  <si>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t>
  </si>
  <si>
    <t xml:space="preserve">    5000 Debt service</t>
  </si>
  <si>
    <t>610 School-sponsored cocurricular activities</t>
  </si>
  <si>
    <t>620 School-sponsored athletics</t>
  </si>
  <si>
    <t>630 Other instructional programs</t>
  </si>
  <si>
    <t>700, 800, 900 Other programs</t>
  </si>
  <si>
    <t xml:space="preserve">    Subtotal (lines 1-15)</t>
  </si>
  <si>
    <t>200 Special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</si>
  <si>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</si>
  <si>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</si>
  <si>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</si>
  <si>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</si>
  <si>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</si>
  <si>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</si>
  <si>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</si>
  <si>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</si>
  <si>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</si>
  <si>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</si>
  <si>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 </t>
  </si>
  <si>
    <t xml:space="preserve">     5000 Debt service</t>
  </si>
  <si>
    <t xml:space="preserve">     Subtotal (lines 17-27)</t>
  </si>
  <si>
    <t>400 Pupil transportation</t>
  </si>
  <si>
    <t>530 Dropout prevention programs</t>
  </si>
  <si>
    <t>540 Joint career &amp; technical ed. &amp; vocational ed. center</t>
  </si>
  <si>
    <t>550 K-3 Reading</t>
  </si>
  <si>
    <t xml:space="preserve">     Subtotal (lines 16 and 28-32)</t>
  </si>
  <si>
    <t>33.</t>
  </si>
  <si>
    <t>34.</t>
  </si>
  <si>
    <t xml:space="preserve">Instructional Improvement Project </t>
  </si>
  <si>
    <t>35.</t>
  </si>
  <si>
    <t>English Language Learner Project (from page 5, line 14)</t>
  </si>
  <si>
    <t>36.</t>
  </si>
  <si>
    <t>Compensatory Instruction Project (from page 5, line 28 )</t>
  </si>
  <si>
    <t>37.</t>
  </si>
  <si>
    <t>38.</t>
  </si>
  <si>
    <t xml:space="preserve">     Total (lines 33-38)</t>
  </si>
  <si>
    <t>39.</t>
  </si>
  <si>
    <t xml:space="preserve">  County</t>
  </si>
  <si>
    <t xml:space="preserve">Employee </t>
  </si>
  <si>
    <t xml:space="preserve">Purchased </t>
  </si>
  <si>
    <t>Classroom Site Project 1010</t>
  </si>
  <si>
    <t>1000 Instructions</t>
  </si>
  <si>
    <t>2100 Support services—students</t>
  </si>
  <si>
    <t>2200 Support services—instructions</t>
  </si>
  <si>
    <t>2300 Support services—general administration</t>
  </si>
  <si>
    <t>3300 Community services operation</t>
  </si>
  <si>
    <t>Total Classroom Site Project (lines 1-5)</t>
  </si>
  <si>
    <t>Classroom Site Project 1010 property payments</t>
  </si>
  <si>
    <t>Property disbursements</t>
  </si>
  <si>
    <t>Interest 6850</t>
  </si>
  <si>
    <t>Redemption of principal</t>
  </si>
  <si>
    <t>Classroom Site Project</t>
  </si>
  <si>
    <t>Additional Classroom Site Project information</t>
  </si>
  <si>
    <t>Beginning project balance</t>
  </si>
  <si>
    <t>Revenues</t>
  </si>
  <si>
    <t>Interest earned</t>
  </si>
  <si>
    <t>Support</t>
  </si>
  <si>
    <t>Instruction</t>
  </si>
  <si>
    <t>Instructional Improvement Project 1020</t>
  </si>
  <si>
    <t>Teacher compensation increases</t>
  </si>
  <si>
    <t>Class size reduction</t>
  </si>
  <si>
    <t>Dropout prevention programs</t>
  </si>
  <si>
    <t>Instructional improvement programs</t>
  </si>
  <si>
    <t>Total Inst. Imp. expenses (lines 1-4, should equal line 9 below)</t>
  </si>
  <si>
    <t>Additional Instructional Improvement Project information</t>
  </si>
  <si>
    <t>Expenses (line 5 above)</t>
  </si>
  <si>
    <t>Arizona Industry Credentials Incentive Project—detailed expenses</t>
  </si>
  <si>
    <t>Teacher instructional costs and professional development</t>
  </si>
  <si>
    <t>Student cost of certification, credentialing or licensure</t>
  </si>
  <si>
    <t>Developmental costs</t>
  </si>
  <si>
    <t>Instructional hardware, software or supplies</t>
  </si>
  <si>
    <t>Career exploration</t>
  </si>
  <si>
    <t>Total Arizona Industry Credentials Incentives expenses</t>
  </si>
  <si>
    <t>Beginning</t>
  </si>
  <si>
    <t xml:space="preserve">Employee  </t>
  </si>
  <si>
    <t>Total  expenses</t>
  </si>
  <si>
    <t>Ending</t>
  </si>
  <si>
    <t>Revenues and expenses</t>
  </si>
  <si>
    <t>project</t>
  </si>
  <si>
    <t>balance</t>
  </si>
  <si>
    <t>revenues</t>
  </si>
  <si>
    <t>English Language Learner Project—1071</t>
  </si>
  <si>
    <t>3200 Restricted revenue from State sources</t>
  </si>
  <si>
    <t>1500 Earnings on investments</t>
  </si>
  <si>
    <t>Total revenues (lines 1 and 2)</t>
  </si>
  <si>
    <t>260 Special education—ELL incremental costs</t>
  </si>
  <si>
    <t>1000 Instruction</t>
  </si>
  <si>
    <t>2000 Support services</t>
  </si>
  <si>
    <t>2100 Students</t>
  </si>
  <si>
    <t>2200 Instruction</t>
  </si>
  <si>
    <t>2300 General administration</t>
  </si>
  <si>
    <t>2400 School administration</t>
  </si>
  <si>
    <t>2500 Central services</t>
  </si>
  <si>
    <t xml:space="preserve">2600 Operation &amp; maintenance of plant </t>
  </si>
  <si>
    <t>2900 Other support services</t>
  </si>
  <si>
    <t>Program 260 subtotal (lines 4-11)</t>
  </si>
  <si>
    <t>430 Pupil transportation—ELL incremental costs</t>
  </si>
  <si>
    <t>2700 Student transportation</t>
  </si>
  <si>
    <t>Total (lines 12 and 13)</t>
  </si>
  <si>
    <t>Compensatory Instruction Project—1072</t>
  </si>
  <si>
    <t>Total revenues (lines 15 and 16)</t>
  </si>
  <si>
    <t>265 Special education—ELL compensatory instruction</t>
  </si>
  <si>
    <t>Program 265 subtotal (lines 18-25)</t>
  </si>
  <si>
    <t>435 Pupil Trans.—ELL compensatory instruction</t>
  </si>
  <si>
    <t>Total (lines 26 and 27)</t>
  </si>
  <si>
    <t>Supplementary information</t>
  </si>
  <si>
    <t>A.</t>
  </si>
  <si>
    <t>Cash balance</t>
  </si>
  <si>
    <t>F.</t>
  </si>
  <si>
    <t>Number of full-time equivalent certified teachers</t>
  </si>
  <si>
    <t>Number of full-time equivalent noncertified teachers</t>
  </si>
  <si>
    <t>B.</t>
  </si>
  <si>
    <t>Audit services</t>
  </si>
  <si>
    <t>Number of full-time equivalent contract teachers</t>
  </si>
  <si>
    <t>1.  Nonfederal</t>
  </si>
  <si>
    <t>Number of schools</t>
  </si>
  <si>
    <t>2.  Federal</t>
  </si>
  <si>
    <t>Actual days in session</t>
  </si>
  <si>
    <t>3.     Total (lines 1 and 2)</t>
  </si>
  <si>
    <t>Tuition expense (except payments to other Arizona schools or districts)</t>
  </si>
  <si>
    <t>Tuition expense (paid to other Arizona schools or districts)</t>
  </si>
  <si>
    <t>C.</t>
  </si>
  <si>
    <t>Capital acquisitions</t>
  </si>
  <si>
    <t>Textbooks (function 1000, object code 6642)</t>
  </si>
  <si>
    <t>1.  0181  Intangible assets</t>
  </si>
  <si>
    <t>2.  0191  Land and land improvements</t>
  </si>
  <si>
    <t>3.  0192  Site improvements</t>
  </si>
  <si>
    <t>Certified</t>
  </si>
  <si>
    <t>Noncertified</t>
  </si>
  <si>
    <t>Contract</t>
  </si>
  <si>
    <t>4.  0194  Buildings and building improvements</t>
  </si>
  <si>
    <t>G.</t>
  </si>
  <si>
    <t>Teacher salaries</t>
  </si>
  <si>
    <t>teachers</t>
  </si>
  <si>
    <t>substitutes</t>
  </si>
  <si>
    <t>5.  0196  Equipment</t>
  </si>
  <si>
    <t xml:space="preserve"> (function 1000)</t>
  </si>
  <si>
    <t>(object 6112)</t>
  </si>
  <si>
    <t>(object 6152)</t>
  </si>
  <si>
    <t>(object 6113)</t>
  </si>
  <si>
    <t>(object 6153)</t>
  </si>
  <si>
    <t>(object 6325)</t>
  </si>
  <si>
    <t>6.  0198  Construction in progress</t>
  </si>
  <si>
    <t xml:space="preserve">Regular education </t>
  </si>
  <si>
    <t>7.     Total capital acquisitions (lines 1-6)</t>
  </si>
  <si>
    <t>Special education</t>
  </si>
  <si>
    <t xml:space="preserve">Vocational education </t>
  </si>
  <si>
    <t>D.</t>
  </si>
  <si>
    <t>Other programs</t>
  </si>
  <si>
    <t>Cocurr. act., athletics, &amp; other (program 600)</t>
  </si>
  <si>
    <t xml:space="preserve">H. </t>
  </si>
  <si>
    <t>Average teacher salary (A.R.S. §15-189.05, as added by Laws 2018, Ch. 285, §3)</t>
  </si>
  <si>
    <t>7.     Total (lines 1-6)</t>
  </si>
  <si>
    <t>E.</t>
  </si>
  <si>
    <t>Current expenses by category</t>
  </si>
  <si>
    <t>1.  Classroom instruction excluding classroom supplies (function 1000,</t>
  </si>
  <si>
    <t>Percentage increase</t>
  </si>
  <si>
    <t xml:space="preserve">     except line 2 amount)</t>
  </si>
  <si>
    <t>2.  Classroom supplies (function 1000, object code 6600)</t>
  </si>
  <si>
    <t>3.  Administration (functions 2300, 2400, 2500, and 2900)</t>
  </si>
  <si>
    <t>Comments on average salary calculation (optional):</t>
  </si>
  <si>
    <t>4.  Support services—students (function 2100)</t>
  </si>
  <si>
    <t>5.  All other support services and operations (functions 2200, 2600,</t>
  </si>
  <si>
    <t xml:space="preserve">    2700, 3100, and 3400)</t>
  </si>
  <si>
    <t>6.     Total (lines 1-5)</t>
  </si>
  <si>
    <t>7. Current expenses from federal sources</t>
  </si>
  <si>
    <t>8. Current expenses from State and local sources</t>
  </si>
  <si>
    <t>Supplementary information (Cont’d)</t>
  </si>
  <si>
    <t>A. Enrollment of gifted pupils by grade</t>
  </si>
  <si>
    <t>Grade</t>
  </si>
  <si>
    <t>Areas of identification</t>
  </si>
  <si>
    <t>K</t>
  </si>
  <si>
    <t>Total</t>
  </si>
  <si>
    <t xml:space="preserve"> 1. Quantitative reasoning</t>
  </si>
  <si>
    <t xml:space="preserve"> 2. Verbal reasoning</t>
  </si>
  <si>
    <t xml:space="preserve"> 3. Nonverbal reasoning</t>
  </si>
  <si>
    <t xml:space="preserve"> 4. Total duplicated enrollment</t>
  </si>
  <si>
    <t xml:space="preserve">        (lines 1-3)</t>
  </si>
  <si>
    <t>B. Expenses for gifted pupils</t>
  </si>
  <si>
    <t>(elementary &amp; secondary)</t>
  </si>
  <si>
    <t>C. Special education programs by type</t>
  </si>
  <si>
    <t>Program 200 budget</t>
  </si>
  <si>
    <t>Program 200 actual</t>
  </si>
  <si>
    <t>Actual expenses for all gifted programs:</t>
  </si>
  <si>
    <t>Total all disability classifications</t>
  </si>
  <si>
    <t>K-8</t>
  </si>
  <si>
    <t>Gifted education</t>
  </si>
  <si>
    <t>9-12</t>
  </si>
  <si>
    <t>ELL incremental costs</t>
  </si>
  <si>
    <t xml:space="preserve">   Total</t>
  </si>
  <si>
    <t>ELL compensatory instruction</t>
  </si>
  <si>
    <t>Remedial education</t>
  </si>
  <si>
    <t>Vocational and technical education</t>
  </si>
  <si>
    <t>Career education</t>
  </si>
  <si>
    <t>Total (lines 1-7)</t>
  </si>
  <si>
    <t>Expenses incurred for transporting students with disabilities (as defined in A.R.S. §15-761) unique to the IEP</t>
  </si>
  <si>
    <t>Federal and State projects</t>
  </si>
  <si>
    <t>Adjusted</t>
  </si>
  <si>
    <t>Indirect</t>
  </si>
  <si>
    <t>Redemption</t>
  </si>
  <si>
    <t>Capital</t>
  </si>
  <si>
    <t>costs</t>
  </si>
  <si>
    <t>Reversions</t>
  </si>
  <si>
    <t xml:space="preserve">of </t>
  </si>
  <si>
    <t>acquisitions</t>
  </si>
  <si>
    <t>Federal projects</t>
  </si>
  <si>
    <t>principal</t>
  </si>
  <si>
    <t>1100-1130 ESEA Title I—Helping Disadvantaged Children</t>
  </si>
  <si>
    <t>1140-1150 ESEA Title II—Prof. Dev. And Technology</t>
  </si>
  <si>
    <t>1160 ESEA  Title IV—21st Century Schools</t>
  </si>
  <si>
    <t>1170-1180 ESEA Title V—Promote Informed Parent Choice</t>
  </si>
  <si>
    <t>1190 ESEA  Title III—Limited Eng. &amp; Immigrant Students</t>
  </si>
  <si>
    <t>1200 ESEA Title VII—Indian Education</t>
  </si>
  <si>
    <t>1210 ESEA Title VI—Flexibility and Accountability</t>
  </si>
  <si>
    <t>1220 IDEA, Part B, including ARP—IDEA Grants</t>
  </si>
  <si>
    <t>1230 Johnson-O'Malley</t>
  </si>
  <si>
    <t>1240 Workforce Investment Act</t>
  </si>
  <si>
    <t>1250 AEA—Adult Education</t>
  </si>
  <si>
    <t>1260-1270 Vocational Education—Basic Grants</t>
  </si>
  <si>
    <t>1280 ESEA Title X—Homeless Education</t>
  </si>
  <si>
    <t>1290 Medicaid Reimbursement</t>
  </si>
  <si>
    <t>1300 Charter School Implementation Project (Stimulus)</t>
  </si>
  <si>
    <t>13__ Impact Aid</t>
  </si>
  <si>
    <t>1310-1399 Other Federal Projects</t>
  </si>
  <si>
    <t xml:space="preserve">     Total federal projects (lines 1-17)</t>
  </si>
  <si>
    <t>Total COVID-19 federal relief projects included above</t>
  </si>
  <si>
    <t>State projects</t>
  </si>
  <si>
    <t>1400 Vocational Education</t>
  </si>
  <si>
    <t>1410 Early Childhood Block Grant</t>
  </si>
  <si>
    <t>1420 Extended School Year—Pupils with Disabilities</t>
  </si>
  <si>
    <t>1425 Adult Basic Education</t>
  </si>
  <si>
    <t>1430 Chemical Abuse Prevention Programs</t>
  </si>
  <si>
    <t>1435 Academic Contests</t>
  </si>
  <si>
    <t>1450 Gifted Education</t>
  </si>
  <si>
    <t>1456 College Credit Exam Incentives</t>
  </si>
  <si>
    <t>1460 Environmental Special Plate</t>
  </si>
  <si>
    <t>1465 Charter School Stimulus Fund</t>
  </si>
  <si>
    <t>14_ Arizona Industry Credentials Incentive</t>
  </si>
  <si>
    <t>1470-1499 Other State Projects</t>
  </si>
  <si>
    <t>Additional information for National Public Education Financial Survey Reporting</t>
  </si>
  <si>
    <t>Programs 100-630</t>
  </si>
  <si>
    <t>Dues and</t>
  </si>
  <si>
    <t>6800</t>
  </si>
  <si>
    <t>6300, 6400,</t>
  </si>
  <si>
    <t>fees</t>
  </si>
  <si>
    <t>Miscellaneous</t>
  </si>
  <si>
    <t xml:space="preserve">(excluding 6810,   </t>
  </si>
  <si>
    <t>Property</t>
  </si>
  <si>
    <t>Projects (1000-1999)</t>
  </si>
  <si>
    <t>6850 and 6890)</t>
  </si>
  <si>
    <t>disbursements</t>
  </si>
  <si>
    <t xml:space="preserve">      2100 Students</t>
  </si>
  <si>
    <t xml:space="preserve">      2200 Instruction</t>
  </si>
  <si>
    <t xml:space="preserve">      2300 General administration</t>
  </si>
  <si>
    <t xml:space="preserve">      2400 School administration</t>
  </si>
  <si>
    <t xml:space="preserve">      2500, 2900 Central services, other support services </t>
  </si>
  <si>
    <t xml:space="preserve">      2600 Operation &amp; maintenance of plant</t>
  </si>
  <si>
    <t xml:space="preserve">      2700 Student transportation</t>
  </si>
  <si>
    <t>3000 Operation of noninstructional services</t>
  </si>
  <si>
    <t xml:space="preserve">      3100 Food service operations</t>
  </si>
  <si>
    <t xml:space="preserve">      3400 Bookstore operations</t>
  </si>
  <si>
    <t>Total (lines 1-10)</t>
  </si>
  <si>
    <t>From federal sources (from line 11 above)</t>
  </si>
  <si>
    <t>From State &amp; local sources (from line 11 above)</t>
  </si>
  <si>
    <t>4000 Facilities acquisition &amp; construction</t>
  </si>
  <si>
    <t>All expense</t>
  </si>
  <si>
    <t>object codes</t>
  </si>
  <si>
    <t xml:space="preserve">     1. Sinking funds</t>
  </si>
  <si>
    <t>(excluding</t>
  </si>
  <si>
    <t xml:space="preserve">Property </t>
  </si>
  <si>
    <t xml:space="preserve">     2. Bond funds</t>
  </si>
  <si>
    <t>6700 and 6900)</t>
  </si>
  <si>
    <t xml:space="preserve">     3. Other funds, except for any employee retirement funds</t>
  </si>
  <si>
    <t>1. Program 700—Adult/continuing education programs</t>
  </si>
  <si>
    <t>2. Program 800—Community college education programs</t>
  </si>
  <si>
    <t>3. Program 900—Community services program</t>
  </si>
  <si>
    <t>Long-term and short-term debt</t>
  </si>
  <si>
    <t>4. Function 3300—Community services operations (programs 700-900)</t>
  </si>
  <si>
    <t>Property disbursements by type</t>
  </si>
  <si>
    <t>All programs</t>
  </si>
  <si>
    <t xml:space="preserve">     1. Intangible assets</t>
  </si>
  <si>
    <t xml:space="preserve">     2. Land and land improvements</t>
  </si>
  <si>
    <t xml:space="preserve">     3. Buildings</t>
  </si>
  <si>
    <t xml:space="preserve">     4. Equipment</t>
  </si>
  <si>
    <t xml:space="preserve">     5. Construction</t>
  </si>
  <si>
    <t>Utilities and energy detail (only function 2600)</t>
  </si>
  <si>
    <t xml:space="preserve">     1. 6410 Utility services</t>
  </si>
  <si>
    <t>Debt service</t>
  </si>
  <si>
    <t xml:space="preserve">     2. 6621-6626 Energy</t>
  </si>
  <si>
    <t xml:space="preserve">     1. 6850 Interest</t>
  </si>
  <si>
    <t xml:space="preserve">     2. Redemption of principal</t>
  </si>
  <si>
    <t xml:space="preserve">     3. 6800 Other (function 5000, excluding 6850)</t>
  </si>
  <si>
    <t>Technology (all functions)</t>
  </si>
  <si>
    <t xml:space="preserve">     1. 6330 Technical services</t>
  </si>
  <si>
    <t xml:space="preserve">Revenue from selected federal sources </t>
  </si>
  <si>
    <t xml:space="preserve">     2. 6432 Technology-related repairs and maintenance </t>
  </si>
  <si>
    <t xml:space="preserve">     1. ESEA Title IV—Student Support and Academic Enrichment Grants</t>
  </si>
  <si>
    <t xml:space="preserve">     3. 6441 Rental of computers and related equipment</t>
  </si>
  <si>
    <t xml:space="preserve">     2. ESEA Title IV—21st Century Community Learning Centers</t>
  </si>
  <si>
    <t xml:space="preserve">     4. 6531 Telecommunications</t>
  </si>
  <si>
    <t xml:space="preserve">     3. ESEA Title V—Rural Education-Rural and Low-Income School Program</t>
  </si>
  <si>
    <t xml:space="preserve">     5. 6650 Technology-related supplies </t>
  </si>
  <si>
    <t xml:space="preserve">     4. ESEA Title V—Rural Education-Small, Rural School Achievement Program</t>
  </si>
  <si>
    <t xml:space="preserve">     6. Technology-related hardware and software</t>
  </si>
  <si>
    <t>Support services-instruction detail</t>
  </si>
  <si>
    <t>Additional information for National Public Education Financial Survey (NPEFS) reporting of COVID-19 federal relief projects</t>
  </si>
  <si>
    <t>Programs 700-900</t>
  </si>
  <si>
    <t xml:space="preserve">Judgements </t>
  </si>
  <si>
    <t>All</t>
  </si>
  <si>
    <t>Current expenses from COVID-19 federal relief projects</t>
  </si>
  <si>
    <t>against the school</t>
  </si>
  <si>
    <t xml:space="preserve">(excluding 6810, </t>
  </si>
  <si>
    <t>Object Codes</t>
  </si>
  <si>
    <t>6820, 6850, and 6890)</t>
  </si>
  <si>
    <t>(excluding 6900)</t>
  </si>
  <si>
    <t>2100, 2200  Student Support Services</t>
  </si>
  <si>
    <t>2300, 2500, 2900 Other Support Services</t>
  </si>
  <si>
    <t>2600 Operation &amp; maintenance of plant</t>
  </si>
  <si>
    <t>3100 Food service operations</t>
  </si>
  <si>
    <t>3400 Bookstore operations</t>
  </si>
  <si>
    <t>Total (lines 1-9)</t>
  </si>
  <si>
    <t>Technology related expenses from COVID-19 federal relief projects</t>
  </si>
  <si>
    <t>Total spending detail</t>
  </si>
  <si>
    <t>Classroom spending detail</t>
  </si>
  <si>
    <t>Property disbursement detail for COVID-19 federal relief projects</t>
  </si>
  <si>
    <t>Indirect costs from COVID-19 federal relief projects</t>
  </si>
  <si>
    <t>1. 6330 Technical services</t>
  </si>
  <si>
    <t>1. Intangible assets</t>
  </si>
  <si>
    <t>1. 6900 Indirect costs</t>
  </si>
  <si>
    <t xml:space="preserve">2. 6432 Technology-related repairs and maintenance </t>
  </si>
  <si>
    <t>2. Land and land improvements</t>
  </si>
  <si>
    <t>3. 6441 Rental of computers and related equipment</t>
  </si>
  <si>
    <t>3. Buildings</t>
  </si>
  <si>
    <t>Property disbursements from COVID-19 federal relief projects</t>
  </si>
  <si>
    <t>4. 6531 Telecommunications</t>
  </si>
  <si>
    <t>4. Equipment</t>
  </si>
  <si>
    <t>1. Program 700 Adult/continuing education programs</t>
  </si>
  <si>
    <t>5. 6650 Technology-related supplies &amp; purchased services (less than $5,000)</t>
  </si>
  <si>
    <t>5. Construction</t>
  </si>
  <si>
    <t>2. Program 800 Community college education programs</t>
  </si>
  <si>
    <t>6. Technology-related hardware &amp; software ($5,000 or more)</t>
  </si>
  <si>
    <t>3. Program 900 Community services program</t>
  </si>
  <si>
    <t xml:space="preserve">7. 6641-43 Software reported in library books, textbooks, or instructional aids </t>
  </si>
  <si>
    <t>Debt service detail for COVID-19 federal relief projects</t>
  </si>
  <si>
    <t>1. 6850 Interest</t>
  </si>
  <si>
    <t>2. Redemption of principal</t>
  </si>
  <si>
    <t/>
  </si>
  <si>
    <t>COVID-19 federal relief projects</t>
  </si>
  <si>
    <t>Total Award
(all fiscal years)</t>
  </si>
  <si>
    <t>Amount
remaining to
spend</t>
  </si>
  <si>
    <t>Paycheck Protection Program</t>
  </si>
  <si>
    <t>1. Total loan amount received</t>
  </si>
  <si>
    <t>1. Elementary and Secondary School Emergency Relief Funds (ESSER I)</t>
  </si>
  <si>
    <t>2. Total PPP loans spent in all fiscal years</t>
  </si>
  <si>
    <t>2. Elementary and Secondary School Emergency Relief Funds (ESSER II)</t>
  </si>
  <si>
    <t xml:space="preserve">3. Total loan amount approved for forgiveness </t>
  </si>
  <si>
    <t>3. Elementary and Secondary School Emergency Relief Funds (ESSER III)</t>
  </si>
  <si>
    <t>4. Total amounts returned to Small Business Administration</t>
  </si>
  <si>
    <t>4. Governor’s Emergency Education Relief Funds (GEER) - includes Acceleration Academies Program</t>
  </si>
  <si>
    <t>5. Total loan amount remaining (line 1 minus lines 2 and 4, final amount should equal 0)</t>
  </si>
  <si>
    <t>5. Coronavirus Relief Fund (CRF)—Enrollment Stability Grant (ESG) Program</t>
  </si>
  <si>
    <t>6. Other COVID-19 federal relief projects</t>
  </si>
  <si>
    <t>7. Total</t>
  </si>
  <si>
    <t>Avg. Daily Membership</t>
  </si>
  <si>
    <t>Attending</t>
  </si>
  <si>
    <t xml:space="preserve">                                            Annual Financial Report Summary</t>
  </si>
  <si>
    <t xml:space="preserve">Adjusted </t>
  </si>
  <si>
    <t xml:space="preserve">Revenues </t>
  </si>
  <si>
    <t>Budgeted Expenses</t>
  </si>
  <si>
    <t>Actual Expenses</t>
  </si>
  <si>
    <t xml:space="preserve">Redemption of </t>
  </si>
  <si>
    <t>Project/Program</t>
  </si>
  <si>
    <t>Project Balance</t>
  </si>
  <si>
    <t>Indirect costs</t>
  </si>
  <si>
    <t xml:space="preserve">principal </t>
  </si>
  <si>
    <t>Additional reserve information</t>
  </si>
  <si>
    <t>Regular Education</t>
  </si>
  <si>
    <t>Special Education</t>
  </si>
  <si>
    <t>Pupil Transportation</t>
  </si>
  <si>
    <t>Dropout Prevention Programs</t>
  </si>
  <si>
    <t>Joint Career &amp; Tech. Ed. &amp; Voc. Ed. Center</t>
  </si>
  <si>
    <t>K-3 Reading Program</t>
  </si>
  <si>
    <t>Schoolwide and other special projects</t>
  </si>
  <si>
    <t>Classroom Site</t>
  </si>
  <si>
    <t>Instructional Improvement</t>
  </si>
  <si>
    <t>English Language Learner</t>
  </si>
  <si>
    <t>Compensatory Instruction</t>
  </si>
  <si>
    <t>Federal Projects</t>
  </si>
  <si>
    <t>State Projects</t>
  </si>
  <si>
    <t>All Projects</t>
  </si>
  <si>
    <t>x</t>
  </si>
  <si>
    <t>3.a</t>
  </si>
  <si>
    <t>Deficit balance</t>
  </si>
  <si>
    <t>3.b</t>
  </si>
  <si>
    <t>3.c</t>
  </si>
  <si>
    <t>3.d</t>
  </si>
  <si>
    <t>3.e</t>
  </si>
  <si>
    <t>3.f</t>
  </si>
  <si>
    <t>Maintained for future financial stability</t>
  </si>
  <si>
    <t>3.g</t>
  </si>
  <si>
    <t>Maintained for other purposes (Specify)</t>
  </si>
  <si>
    <t>3.h</t>
  </si>
  <si>
    <t>3.i</t>
  </si>
  <si>
    <t>Yes</t>
  </si>
  <si>
    <t>No</t>
  </si>
  <si>
    <t xml:space="preserve">3. </t>
  </si>
  <si>
    <t xml:space="preserve">Project(s) </t>
  </si>
  <si>
    <t>Method used to establish a targeted project balance reserve amount</t>
  </si>
  <si>
    <t>Total:</t>
  </si>
  <si>
    <t>See page 3. Classroom Site Project revenue information is not complete. Ensure that all revenues have been recorded for Project 1010—Classroom Site, on page 3, lines 11 and 12. Classroom Site Project YTD payment reports can be obtained from ADE at https://apps.azed.gov/SchoolFinanceReports/Reports.</t>
  </si>
  <si>
    <t>Page 4, Instructional Improvement Project revenue is not complete. Ensure revenue has been reported for the Instructional Improvement Project on page 4, line 7. Instructional Improvement Project YTD payment reports can be obtained from ADE at https://apps.azed.gov/SchoolFinanceReports/Reports.</t>
  </si>
  <si>
    <t>Page 6, section E, line 3 is not accurate based on amounts reported on page 2 for functions 2300, 2400, 2500 and 2900. The expense reported on page 6 should be greater than those amounts reported on page 2. Ensure the amount reported on page 6, section E, line 3 for current administration expense is accurate.</t>
  </si>
  <si>
    <t>Page 6, section F, lines 1-3 are not complete as the Charter did not report any FTE for teachers.</t>
  </si>
  <si>
    <t>Page 6, section G, teachers salaries table is not complete. Ensure all teacher salary information is reported on page 6, section G. The sum of all salary amounts reported must be greater than 0.</t>
  </si>
  <si>
    <t>Page 6, sections F and G do not appear appropriate. Ensure the number of FTE teachers reported in section F and the teacher salaries reported in section G are correct.</t>
  </si>
  <si>
    <t xml:space="preserve">Page 7, section C, special education programs by type table does not include all program 200 SPED expenses. Ensure all special education expenses are reported by type on page 7, section C, lines 1-7. The total on page 7 should include special education expenses reported on pages 2 and 6. </t>
  </si>
  <si>
    <t>Page 9, property disbursements by type table is not complete. Ensure all property disbursements have been reported in the property disbursements by type table on page 9. Total property disbursements in this table should equal the sum of property disbursements in the two preceding tables above on page 9. If there were no property disbursements during the fiscal year, then record a 0 for each line item in the table as applicable. This information is needed for NPEFS reporting.</t>
  </si>
  <si>
    <t xml:space="preserve">Page 9, NPEFS information is not accurate based on amounts reported throughout the AFR. This alert compares total expenses reported on page 2, line 39 to the sum of the following expenses: page 9, lines 11 and 14 (excluding property disbursements), page 9 expenses for programs 700-900 and function 3300 (excluding property disbursements), the debt service—interest expense, and the debt service—other expense. The sum of the applicable amounts on page 9 should be greater than the expense reported on page 2, line 39. </t>
  </si>
  <si>
    <t>Page 8, line 19 is not complete. Ensure all COVID-19 amounts are reported on line 19. If the Charter does not have any activity to report, enter a 0 on the line item(s) as applicable. Line 19 cannot be left blank.</t>
  </si>
  <si>
    <t>Charters must complete all required detail for each school site, including charters with only one school.</t>
  </si>
  <si>
    <t>School #</t>
  </si>
  <si>
    <t>School name</t>
  </si>
  <si>
    <t>School CTDS</t>
  </si>
  <si>
    <t>Unweighted attending student count</t>
  </si>
  <si>
    <t>Unit code(s)</t>
  </si>
  <si>
    <t>Primary unit code</t>
  </si>
  <si>
    <t>Comments</t>
  </si>
  <si>
    <t>Charterwide</t>
  </si>
  <si>
    <t>School Listing–Charterwide</t>
  </si>
  <si>
    <t>Private schools</t>
  </si>
  <si>
    <t>School Listing–Private Schools</t>
  </si>
  <si>
    <t>CTED (Member Districts)</t>
  </si>
  <si>
    <t>School Listing–CTED (Member Districts)</t>
  </si>
  <si>
    <t>School 1</t>
  </si>
  <si>
    <t>School Listing–School 1</t>
  </si>
  <si>
    <t>School 2</t>
  </si>
  <si>
    <t>School Listing–School 2</t>
  </si>
  <si>
    <t>School 3</t>
  </si>
  <si>
    <t>School Listing–School 3</t>
  </si>
  <si>
    <t>School 4</t>
  </si>
  <si>
    <t>School Listing–School 4</t>
  </si>
  <si>
    <t>School 5</t>
  </si>
  <si>
    <t>School Listing–School 5</t>
  </si>
  <si>
    <t>School 6</t>
  </si>
  <si>
    <t>School Listing–School 6</t>
  </si>
  <si>
    <t>School 7</t>
  </si>
  <si>
    <t>School Listing–School 7</t>
  </si>
  <si>
    <t>School 8</t>
  </si>
  <si>
    <t>School Listing–School 8</t>
  </si>
  <si>
    <t>School 9</t>
  </si>
  <si>
    <t>School Listing–School 9</t>
  </si>
  <si>
    <t>School 10</t>
  </si>
  <si>
    <t>School Listing–School 10</t>
  </si>
  <si>
    <t>School 11</t>
  </si>
  <si>
    <t>School Listing–School 11</t>
  </si>
  <si>
    <t>School 12</t>
  </si>
  <si>
    <t>School Listing–School 12</t>
  </si>
  <si>
    <t>School 13</t>
  </si>
  <si>
    <t>School Listing–School 13</t>
  </si>
  <si>
    <t>School 14</t>
  </si>
  <si>
    <t>School Listing–School 14</t>
  </si>
  <si>
    <t>School 15</t>
  </si>
  <si>
    <t>School Listing–School 15</t>
  </si>
  <si>
    <t>School 16</t>
  </si>
  <si>
    <t>School Listing–School 16</t>
  </si>
  <si>
    <t>School 17</t>
  </si>
  <si>
    <t>School Listing–School 17</t>
  </si>
  <si>
    <t>School 18</t>
  </si>
  <si>
    <t>School Listing–School 18</t>
  </si>
  <si>
    <t>School 19</t>
  </si>
  <si>
    <t>School Listing–School 19</t>
  </si>
  <si>
    <t>School 20</t>
  </si>
  <si>
    <t>School Listing–School 20</t>
  </si>
  <si>
    <t>School 21</t>
  </si>
  <si>
    <t>School Listing–School 21</t>
  </si>
  <si>
    <t>School 22</t>
  </si>
  <si>
    <t>School Listing–School 22</t>
  </si>
  <si>
    <t>School 23</t>
  </si>
  <si>
    <t>School Listing–School 23</t>
  </si>
  <si>
    <t>School 24</t>
  </si>
  <si>
    <t>School Listing–School 24</t>
  </si>
  <si>
    <t>School 25</t>
  </si>
  <si>
    <t>School Listing–School 25</t>
  </si>
  <si>
    <t>School 26</t>
  </si>
  <si>
    <t>School Listing–School 26</t>
  </si>
  <si>
    <t>School 27</t>
  </si>
  <si>
    <t>School Listing–School 27</t>
  </si>
  <si>
    <t>School 28</t>
  </si>
  <si>
    <t>School Listing–School 28</t>
  </si>
  <si>
    <t>School 29</t>
  </si>
  <si>
    <t>School Listing–School 29</t>
  </si>
  <si>
    <t>School 30</t>
  </si>
  <si>
    <t>School Listing–School 30</t>
  </si>
  <si>
    <t>School 31</t>
  </si>
  <si>
    <t>School Listing–School 31</t>
  </si>
  <si>
    <t>School 32</t>
  </si>
  <si>
    <t>School Listing–School 32</t>
  </si>
  <si>
    <t>School 33</t>
  </si>
  <si>
    <t>School Listing–School 33</t>
  </si>
  <si>
    <t>School 34</t>
  </si>
  <si>
    <t>School Listing–School 34</t>
  </si>
  <si>
    <t>School 35</t>
  </si>
  <si>
    <t>School Listing–School 35</t>
  </si>
  <si>
    <t>School 36</t>
  </si>
  <si>
    <t>School Listing–School 36</t>
  </si>
  <si>
    <t>School 37</t>
  </si>
  <si>
    <t>School Listing–School 37</t>
  </si>
  <si>
    <t>School 38</t>
  </si>
  <si>
    <t>School Listing–School 38</t>
  </si>
  <si>
    <t>School 39</t>
  </si>
  <si>
    <t>School Listing–School 39</t>
  </si>
  <si>
    <t>School 40</t>
  </si>
  <si>
    <t>School Listing–School 40</t>
  </si>
  <si>
    <t>School 41</t>
  </si>
  <si>
    <t>School Listing–School 41</t>
  </si>
  <si>
    <t>School 42</t>
  </si>
  <si>
    <t>School Listing–School 42</t>
  </si>
  <si>
    <t>School 43</t>
  </si>
  <si>
    <t>School Listing–School 43</t>
  </si>
  <si>
    <t>School 44</t>
  </si>
  <si>
    <t>School Listing–School 44</t>
  </si>
  <si>
    <t>School 45</t>
  </si>
  <si>
    <t>School Listing–School 45</t>
  </si>
  <si>
    <t>School 46</t>
  </si>
  <si>
    <t>School Listing–School 46</t>
  </si>
  <si>
    <t>School 47</t>
  </si>
  <si>
    <t>School Listing–School 47</t>
  </si>
  <si>
    <t>School 48</t>
  </si>
  <si>
    <t>School Listing–School 48</t>
  </si>
  <si>
    <t>School 49</t>
  </si>
  <si>
    <t>School Listing–School 49</t>
  </si>
  <si>
    <t>School 50</t>
  </si>
  <si>
    <t>School Listing–School 50</t>
  </si>
  <si>
    <t>School 51</t>
  </si>
  <si>
    <t>School Listing–School 51</t>
  </si>
  <si>
    <t>School 52</t>
  </si>
  <si>
    <t>School Listing–School 52</t>
  </si>
  <si>
    <t>School 53</t>
  </si>
  <si>
    <t>School Listing–School 53</t>
  </si>
  <si>
    <t>School 54</t>
  </si>
  <si>
    <t>School Listing–School 54</t>
  </si>
  <si>
    <t>School 55</t>
  </si>
  <si>
    <t>School Listing–School 55</t>
  </si>
  <si>
    <t>School 56</t>
  </si>
  <si>
    <t>School Listing–School 56</t>
  </si>
  <si>
    <t>School 57</t>
  </si>
  <si>
    <t>School Listing–School 57</t>
  </si>
  <si>
    <t>School 58</t>
  </si>
  <si>
    <t>School Listing–School 58</t>
  </si>
  <si>
    <t>School 59</t>
  </si>
  <si>
    <t>School Listing–School 59</t>
  </si>
  <si>
    <t>School 60</t>
  </si>
  <si>
    <t>School Listing–School 60</t>
  </si>
  <si>
    <t>School 61</t>
  </si>
  <si>
    <t>School Listing–School 61</t>
  </si>
  <si>
    <t>School 62</t>
  </si>
  <si>
    <t>School Listing–School 62</t>
  </si>
  <si>
    <t>School 63</t>
  </si>
  <si>
    <t>School Listing–School 63</t>
  </si>
  <si>
    <t>School 64</t>
  </si>
  <si>
    <t>School Listing–School 64</t>
  </si>
  <si>
    <t>School 65</t>
  </si>
  <si>
    <t>School Listing–School 65</t>
  </si>
  <si>
    <t>School 66</t>
  </si>
  <si>
    <t>School Listing–School 66</t>
  </si>
  <si>
    <t>School 67</t>
  </si>
  <si>
    <t>School Listing–School 67</t>
  </si>
  <si>
    <t>School 68</t>
  </si>
  <si>
    <t>School Listing–School 68</t>
  </si>
  <si>
    <t>School 69</t>
  </si>
  <si>
    <t>School Listing–School 69</t>
  </si>
  <si>
    <t>School 70</t>
  </si>
  <si>
    <t>School Listing–School 70</t>
  </si>
  <si>
    <t>School 71</t>
  </si>
  <si>
    <t>School Listing–School 71</t>
  </si>
  <si>
    <t>School 72</t>
  </si>
  <si>
    <t>School Listing–School 72</t>
  </si>
  <si>
    <t>School 73</t>
  </si>
  <si>
    <t>School Listing–School 73</t>
  </si>
  <si>
    <t>School 74</t>
  </si>
  <si>
    <t>School Listing–School 74</t>
  </si>
  <si>
    <t>School 75</t>
  </si>
  <si>
    <t>School Listing–School 75</t>
  </si>
  <si>
    <t>School 76</t>
  </si>
  <si>
    <t>School Listing–School 76</t>
  </si>
  <si>
    <t>School 77</t>
  </si>
  <si>
    <t>School Listing–School 77</t>
  </si>
  <si>
    <t>School 78</t>
  </si>
  <si>
    <t>School Listing–School 78</t>
  </si>
  <si>
    <t>School 79</t>
  </si>
  <si>
    <t>School Listing–School 79</t>
  </si>
  <si>
    <t>School 80</t>
  </si>
  <si>
    <t>School Listing–School 80</t>
  </si>
  <si>
    <t>School 81</t>
  </si>
  <si>
    <t>School Listing–School 81</t>
  </si>
  <si>
    <t>School 82</t>
  </si>
  <si>
    <t>School Listing–School 82</t>
  </si>
  <si>
    <t>School 83</t>
  </si>
  <si>
    <t>School Listing–School 83</t>
  </si>
  <si>
    <t>School 84</t>
  </si>
  <si>
    <t>School Listing–School 84</t>
  </si>
  <si>
    <t>School 85</t>
  </si>
  <si>
    <t>School Listing–School 85</t>
  </si>
  <si>
    <t>School 86</t>
  </si>
  <si>
    <t>School Listing–School 86</t>
  </si>
  <si>
    <t>School 87</t>
  </si>
  <si>
    <t>School Listing–School 87</t>
  </si>
  <si>
    <t>School 88</t>
  </si>
  <si>
    <t>School Listing–School 88</t>
  </si>
  <si>
    <t>School 89</t>
  </si>
  <si>
    <t>School Listing–School 89</t>
  </si>
  <si>
    <t>School 90</t>
  </si>
  <si>
    <t>School Listing–School 90</t>
  </si>
  <si>
    <t>Page</t>
  </si>
  <si>
    <t>Reference</t>
  </si>
  <si>
    <t>Instructions</t>
  </si>
  <si>
    <t>Significant Change</t>
  </si>
  <si>
    <t>General</t>
  </si>
  <si>
    <t xml:space="preserve">We provide these instructions to help charter schools (charters) prepare the Charter School Annual Financial Report (AFR). Within the forms, blue font indicates that an instruction is linked to that specific line. The instructions button links to any general instructions or to the first instruction for a page. To return to the related forms after reviewing the instructions, simply click on the form's tab at the bottom of the Excel screen or press the Alt and back arrow keys. </t>
  </si>
  <si>
    <t xml:space="preserve">The AFR presents condensed financial activity (i.e., beginning and ending balances, revenues and expenses, and budget to actual comparisons of expenses for the fiscal year) of the Charter for comparison purposes. This information assists sponsors, charter governing boards, administrators, ADE, legislators, other governmental agencies, and taxpayers in determining whether charters are meeting their stewardship responsibilities.
</t>
  </si>
  <si>
    <t>Alerts will appear on the cover page and throughout the form when areas of the AFR are not completed or do not appear to be accurately reported. The alerts will disappear as they are resolved. Detailed descriptions of the alerts, as well as guidance on how to resolve the alerts, can be found on the Alerts tab. Charters should complete all areas of the AFR that apply to their operations, whether or not the item is listed in the alert. These alerts do not replace the need for a separate employee to review the AFR for accuracy and completeness. Charters should ensure that no alerts remain on the cover page before uploading the files.</t>
  </si>
  <si>
    <t>Cover</t>
  </si>
  <si>
    <t>Name, county, CTDS number</t>
  </si>
  <si>
    <t>The charter name, county, and CTDS number should be entered on the cover page of the AFR. The CTDS number should not contain any slashes, dashes, etc., and must be exactly 9 digits. Zeros should be entered to fill the school portion of the number on the cover page. This information will be automatically transferred to other sheets in the file.</t>
  </si>
  <si>
    <t>School listing tab</t>
  </si>
  <si>
    <t>Accounting data tab</t>
  </si>
  <si>
    <r>
      <rPr>
        <b/>
        <sz val="10"/>
        <color indexed="8"/>
        <rFont val="Times New Roman"/>
        <family val="1"/>
      </rPr>
      <t xml:space="preserve">Charters must complete the Accounting data tab within this workbook. Charters will use the data from the Accounting data tab to complete the AFR and school-level reporting.
</t>
    </r>
    <r>
      <rPr>
        <sz val="10"/>
        <rFont val="Times New Roman"/>
        <family val="2"/>
      </rPr>
      <t xml:space="preserve">
Charters must copy their accounting data from their accounting records and paste the data into columns A through G in the Accounting data tab within this file. When pasting data, select "Paste Options:" and choose "Values (V)". Paste data into cell A2. Do not copy any column headers into the Accounting data tab or paste over any column headers within the tab.  
Charters should filter on the data elements in columns A through E and select the appropriate project, program, function, object, and unit for each line item from the dropdown list provided in columns H through L to report within the AFR. If a cell has not been assigned a value, the cell will be highlighted in red. When complete, the form should not have any red highlighted cells in rows with charter submitted data. Any blank rows will remain red highlighted.
</t>
    </r>
    <r>
      <rPr>
        <b/>
        <sz val="10"/>
        <rFont val="Times New Roman"/>
        <family val="1"/>
      </rPr>
      <t>Charters should select "1310-1399-COVID-19 Federal Relief Projects", "1227-ARP-IDEA Preschool", and "1228-ARP-IDEA Basic" from the dropdown list provided in column H for all expenses and revenues from COVID-19 federal relief projects.</t>
    </r>
    <r>
      <rPr>
        <sz val="10"/>
        <rFont val="Times New Roman"/>
        <family val="2"/>
      </rPr>
      <t xml:space="preserve">  </t>
    </r>
  </si>
  <si>
    <t xml:space="preserve">Report all revenues the Charter received on this page.  </t>
  </si>
  <si>
    <t xml:space="preserve">1600 Food service, line 6 </t>
  </si>
  <si>
    <t xml:space="preserve">Revenues received in the Classroom Site Project (CSP) (project code 1010), Instructional Improvement Project (project code 1020), English Language Learner Project (project code 1071), and Compensatory Instruction Project (project code 1072) should be reported as restricted. In addition, any restricted revenues received for State projects, as reported on page 9, should also be included, as applicable. Classroom Site Project and Instructional Improvement Project YTD Payment Reports can be obtained from ADE at https://apps.azed.gov/SchoolFinanceReports/Reports
If you are not following the USFRCS Chart of Accounts, please report these revenues as 3200 restricted for federal survey purposes. 
</t>
  </si>
  <si>
    <t xml:space="preserve">Report unrestricted/restricted revenues received from the federal government through the State on this line, including revenues from COVID-19 federal relief projects, such as the Elementary and Secondary School Emergency Relief (ESSER). </t>
  </si>
  <si>
    <t>Expenses, lines 1-32</t>
  </si>
  <si>
    <r>
      <t>Report expenses for 1000-Schoolwide Project and 1500-1999-Other Special Projects on lines 1 through 32. Do not include the Classroom Site Project (project code 1010), Instructional Improvement Project (project code 1020), English Language Learner Project (project code 1071), Compensatory Instruction Project (project code 1072), or Federal and State Projects (project codes 1100 through 1499) expenses as these expenses are reported on other pages and formulas will populate lines 34 through 38.</t>
    </r>
    <r>
      <rPr>
        <strike/>
        <sz val="10"/>
        <rFont val="Times New Roman"/>
        <family val="1"/>
      </rPr>
      <t xml:space="preserve"> </t>
    </r>
    <r>
      <rPr>
        <sz val="10"/>
        <rFont val="Times New Roman"/>
        <family val="2"/>
      </rPr>
      <t xml:space="preserve">
Report expenses for programs 200-special education and 270-vocational and technical education on lines 17-28. Report expenses for program 400-pupil transportation on line 29. 
Do not include payments for capital acquisitions, depreciation, impairment expense or principal payments.  </t>
    </r>
  </si>
  <si>
    <t>Federal and State projects, line 38</t>
  </si>
  <si>
    <t xml:space="preserve">Expenses made from the CSP (1010) should be made in accordance with A.R.S. §15-977. Schools may establish any CSP subprojects (1011-1019) to track monies for specific allowable purposes or separately account for carryover balances and other one-time CSP monies. </t>
  </si>
  <si>
    <r>
      <t>Line</t>
    </r>
    <r>
      <rPr>
        <strike/>
        <sz val="10"/>
        <rFont val="Times New Roman"/>
        <family val="1"/>
      </rPr>
      <t>s</t>
    </r>
    <r>
      <rPr>
        <sz val="10"/>
        <rFont val="Times New Roman"/>
        <family val="2"/>
      </rPr>
      <t xml:space="preserve"> 4</t>
    </r>
  </si>
  <si>
    <t xml:space="preserve">Report expenses for teacher liability insurance premiums made from Project 1010. </t>
  </si>
  <si>
    <t xml:space="preserve"> Line 5</t>
  </si>
  <si>
    <r>
      <t xml:space="preserve">Report </t>
    </r>
    <r>
      <rPr>
        <b/>
        <sz val="10"/>
        <rFont val="Times New Roman"/>
        <family val="1"/>
      </rPr>
      <t>allowable</t>
    </r>
    <r>
      <rPr>
        <sz val="10"/>
        <rFont val="Times New Roman"/>
        <family val="2"/>
      </rPr>
      <t xml:space="preserve"> CSP amounts for function 3300—community service operations on this line. For example, if a charter included a community school program, such as preschool for children without disabilities, as a CSP-eligible program related to its educational mission, report the teacher salaries and related expenses </t>
    </r>
    <r>
      <rPr>
        <b/>
        <sz val="10"/>
        <rFont val="Times New Roman"/>
        <family val="1"/>
      </rPr>
      <t>allowable under CSP</t>
    </r>
    <r>
      <rPr>
        <sz val="10"/>
        <rFont val="Times New Roman"/>
        <family val="2"/>
      </rPr>
      <t xml:space="preserve"> here. </t>
    </r>
  </si>
  <si>
    <t>Classroom Site Project Property Payments</t>
  </si>
  <si>
    <r>
      <t>Arizona Industry Credentials Incentive project</t>
    </r>
    <r>
      <rPr>
        <sz val="10"/>
        <rFont val="Calibri"/>
        <family val="2"/>
      </rPr>
      <t>—</t>
    </r>
    <r>
      <rPr>
        <sz val="10"/>
        <rFont val="Times New Roman"/>
        <family val="2"/>
      </rPr>
      <t>detailed expenses</t>
    </r>
  </si>
  <si>
    <t>Enter the detailed actual expense amounts for the following allowable costs in accordance with  A.R.S. §15-249.15:
• Instructional costs and professional development for a career technical education program teacher to become a certifying professional for an approved certificate, credential, or license.
• To offset the students' cost of certification, credentialing, or licensure.
• Developmental costs related to creating, expanding or improving an approved site of a certificate, credential, or license career     technical program or course.
• Instructional hardware, software, or supplies required for the certification, credentialing, or licensure.
• Career exploration in any school grade and awareness activities for parents, students, and the community for the approved sectors.</t>
  </si>
  <si>
    <t>Section B— 
Audit services</t>
  </si>
  <si>
    <t>Section C— 
Capital acquisitions</t>
  </si>
  <si>
    <t>Section C— 
Capital acquisitions,  
line 6</t>
  </si>
  <si>
    <t>Section D—Investment in capital assets</t>
  </si>
  <si>
    <t>Section D— 
Investment in capital assets,  
line 6</t>
  </si>
  <si>
    <t>Section E—Current expenses by category</t>
  </si>
  <si>
    <t>A.R.S. §15-255 requires the Superintendent of Public Instruction's Annual Report to include total current expenses per pupil and separate per pupil amounts by (1) classroom instruction excluding classroom supplies, (2) classroom supplies, (3) administration, (4) support services—students, and (5) all other support services and operations. ADE will calculate the "per pupil" amounts based on the total current expenses reported on lines 1 through 5 of this section. 
Current expenses include expenses from all projects for elementary and secondary education (e.g., all schoolwide projects including classroom site, instructional improvement, english language learner, compensatory instruction and most federal and state projects and other special projects).  Current expenses do not include tuition paid to other Arizona school charters or charters, outlays for facilities acquisition and construction, furniture, equipment, technology, vehicles, debt retirement, and expenses for nonpublic school programs appropriately recorded in program codes 700, 800, and 900.  (e.g., adult/continuing education, community college education, community services, etc.).</t>
  </si>
  <si>
    <t>Section E— 
Current expenses by category,  
lines 7 and 8</t>
  </si>
  <si>
    <t>The Every Student Succeeds Act (ESSA) requires current expenses to be reported by source. Report the portion of current expenses from line 6 that were paid from federal sources. If no expenses were paid from federal sources, enter a 0 value on line 7. Line 8 contains a formula to calculate the current expenses from State and local sources.</t>
  </si>
  <si>
    <t xml:space="preserve">Report the number of full-time equivalent (FTE) certified, noncertified, and contract teachers on lines 1-3, respectively. These amounts may include fractional FTE for part-time teachers. A teacher should be reported on only 1 line. If a teacher is both a certified and contract teacher, report only the applicable FTE on line 3. Do not include instructional aides or assistants. </t>
  </si>
  <si>
    <t>Section G—Teacher salaries</t>
  </si>
  <si>
    <t>Report base salaries, overtime, and additional compensation paid to certified and noncertified teachers, certified and noncertified substitute teachers, and contract teachers.  Do not include salaries paid to instructional aides or assistants.  Report the salaries based on the appropriate program.  If a teacher teaches in more than 1 program, calculate the salary based on the amount of time instructing in each program. If FTE amounts were reported for certified, noncertified, or contract teachers in section F, corresponding salary amounts should be reported in section G.</t>
  </si>
  <si>
    <t>Section G— 
Teachers salaries,  
line 1</t>
  </si>
  <si>
    <t xml:space="preserve">Regular education includes expenses coded to program 100,  career education programs coded to program 200, and K-3 Reading expenses coded to program 550.  </t>
  </si>
  <si>
    <t>Section G— 
Teachers salaries,  
line 2</t>
  </si>
  <si>
    <t xml:space="preserve">Special education includes expenses coded to program 200 (excluding ELL incremental costs, compensatory instruction, vocational and technological education, and career education programs).  </t>
  </si>
  <si>
    <t>Section G— 
Teachers salaries,  
line 3</t>
  </si>
  <si>
    <t>Vocational education includes expenses coded to programs 270 and 540.</t>
  </si>
  <si>
    <t>Section G— 
Teachers salaries,  
line 4</t>
  </si>
  <si>
    <t>Other programs includes expenses coded to programs 260, 265, and 530.</t>
  </si>
  <si>
    <t>Section G— 
Teachers salaries,  
line 5</t>
  </si>
  <si>
    <t>Cocurricular activities, athletics, and other includes expenses coded to program 600.</t>
  </si>
  <si>
    <t>Section H— 
Average teacher salary</t>
  </si>
  <si>
    <t xml:space="preserve">Sections B and C— 
Total gifted expenses  
</t>
  </si>
  <si>
    <t>Total actual gifted expenses in sections B and C must agree.</t>
  </si>
  <si>
    <t>Section C—Special ed. programs by type</t>
  </si>
  <si>
    <r>
      <t xml:space="preserve">Enter only the amounts of expenses for special education programs by type for 1000-Schoolwide Project and 1500-1999-Other Special Projects. Federal and state projects' special education expenses are reported on page 8 and should not be reported here.  Retain supporting documentation for the allocation of expenses to individual special education programs.
</t>
    </r>
    <r>
      <rPr>
        <b/>
        <sz val="10"/>
        <rFont val="Times New Roman"/>
        <family val="1"/>
      </rPr>
      <t>Charters should report actual total expenses in Program 200ꟷSpecial Education for disability classifications defined in A.R.S. §15-761 on line 1, Total All Disability Classifications.</t>
    </r>
    <r>
      <rPr>
        <sz val="10"/>
        <rFont val="Times New Roman"/>
        <family val="2"/>
      </rPr>
      <t xml:space="preserve"> The amounts entered on line 1 and line 8 are used by ADE in the calculation of maintenance of effort.  The total expenses for all of these programs on line 8 must agree to the total 1000-Schoolwide Project and 1500-1999 Other Special projects, programs 200 expenses reported on page 2, line 28.</t>
    </r>
  </si>
  <si>
    <t>Section C—Total all disability classifications</t>
  </si>
  <si>
    <t>Enter total expenses for the disability classifications defined in A.R.S. §15-761.</t>
  </si>
  <si>
    <t>Section C—Transportation</t>
  </si>
  <si>
    <t>Charters should report actual total transportation expenses coded within program 400 for transporting students whose IEPs require transportation as necessary for the provision of free and appropriate public education (FAPE).</t>
  </si>
  <si>
    <t>Impact aid and other federal projects, lines 16, 17, and 19</t>
  </si>
  <si>
    <r>
      <t xml:space="preserve">Enter Impact Aid amounts on line 16. Enter all Other Federal Projects (less Impact Aid), including amounts for COVID-19 federal relief projects, such as the Elementary and Secondary School Emergency Relief (ESSER) programs, on line 17. Separately report revenues and expenses for COVID-19 federal relief projects on line 19.
</t>
    </r>
    <r>
      <rPr>
        <b/>
        <sz val="10"/>
        <rFont val="Times New Roman"/>
        <family val="1"/>
      </rPr>
      <t>All COVID-19 related amounts must be identified as 1227-ARP-IDEA Preschool, 1228-ARP-IDEA Basic or 1310-1399-COVID-19 Federal Relief Projects on the Accounting data tab.</t>
    </r>
    <r>
      <rPr>
        <sz val="10"/>
        <rFont val="Times New Roman"/>
        <family val="2"/>
      </rPr>
      <t xml:space="preserve">
If the Charter does not have any amounts to report, enter a 0 value for each item as applicable.
</t>
    </r>
  </si>
  <si>
    <t>The total budget and actual expenses on line 33 should agree with the total column for federal and State projects on line 38 on page 2.</t>
  </si>
  <si>
    <t>Revenue from selected federal sources</t>
  </si>
  <si>
    <t xml:space="preserve">Report revenues received from selected federal sources listed on lines 1 through 4.
1. Student Support and Academic Enrichment Grants (subgrants from States only) (ESEA IV-A-1, section 4105)
The purpose of this grant is to improve students’ academic achievement by increasing the capacity of States, local educational agencies, schools, and local communities to provide all students with access to a well-rounded education, improve school conditions for student learning, and improve the use of technology in order to improve the academic achievement and digital literacy of all students. Additional information is available at the following link: </t>
  </si>
  <si>
    <t>https://www.azed.gov/titleiv-a/</t>
  </si>
  <si>
    <t>2. 21st Century Community Learning Centers (subgrants from States only—excludes awards under national activities) (ESEA IV-B)
This program is funded by a federal grant from the U.S. Department of Education and administered by the Arizona Department of Education. Additional information is available at the following link:</t>
  </si>
  <si>
    <t>https://www.azed.gov/21stcclc/federal-and-state-regulations/</t>
  </si>
  <si>
    <t>3. Rural education - Rural and Low-Income School program (RLIS) (ESEA V-B-2, section 5221)
The purpose of this program is to provide for equity in cases where rural or low-income schools receive allocations insufficient for their needs and are at a competitive disadvantage for other grants. Additional information is available at the following link:</t>
  </si>
  <si>
    <t xml:space="preserve"> https://www.azed.gov/titlei/sample-page/rural-low-income-schools-rlis/</t>
  </si>
  <si>
    <t xml:space="preserve">4. Rural education - Small, Rural School Achievement program (SRSA) (ESEA V-B-1, section 5211)
This program authorizes the U.S. Secretary of Education to award formula grants directly to eligible LEAs (i.e., those LEAs eligible under the alternative uses of funds program) to carry out activities authorized under other specified federal programs. Additional information is available at the following link: </t>
  </si>
  <si>
    <t>https://www.azed.gov/titlei/reap/</t>
  </si>
  <si>
    <t>For support assistance for federal and State grants, please contact the Arizona Department of Education's Grants Management Team:</t>
  </si>
  <si>
    <t>https://www.azed.gov/grants-management/contact/</t>
  </si>
  <si>
    <t>Cash and investments held at fiscal year end</t>
  </si>
  <si>
    <r>
      <t xml:space="preserve">Charters should report ending balance amounts of cash and investments (at market value) for the following funds:
     </t>
    </r>
    <r>
      <rPr>
        <b/>
        <sz val="10"/>
        <rFont val="Times New Roman"/>
        <family val="1"/>
      </rPr>
      <t xml:space="preserve">Sinking funds </t>
    </r>
    <r>
      <rPr>
        <sz val="10"/>
        <rFont val="Times New Roman"/>
        <family val="2"/>
      </rPr>
      <t xml:space="preserve">— funds containing reserves held specifically for redemption of long-term debt.
   </t>
    </r>
    <r>
      <rPr>
        <b/>
        <sz val="10"/>
        <rFont val="Times New Roman"/>
        <family val="1"/>
      </rPr>
      <t xml:space="preserve">  Bond funds </t>
    </r>
    <r>
      <rPr>
        <sz val="10"/>
        <rFont val="Times New Roman"/>
        <family val="2"/>
      </rPr>
      <t xml:space="preserve">— funds containing unexpended proceeds of bond issues that were being held pending their disbursement.                                       
     </t>
    </r>
    <r>
      <rPr>
        <b/>
        <sz val="10"/>
        <rFont val="Times New Roman"/>
        <family val="1"/>
      </rPr>
      <t xml:space="preserve">Other funds </t>
    </r>
    <r>
      <rPr>
        <sz val="10"/>
        <rFont val="Times New Roman"/>
        <family val="2"/>
      </rPr>
      <t xml:space="preserve">— all other funds, </t>
    </r>
    <r>
      <rPr>
        <b/>
        <sz val="10"/>
        <rFont val="Times New Roman"/>
        <family val="1"/>
      </rPr>
      <t>exclude</t>
    </r>
    <r>
      <rPr>
        <sz val="10"/>
        <rFont val="Times New Roman"/>
        <family val="2"/>
      </rPr>
      <t xml:space="preserve"> any employee retirement funds.
Include cash balances; cash on hand; certificates of deposit; federal securities; State and local government securities; mortgages; and corporate stocks, bonds, and notes. </t>
    </r>
    <r>
      <rPr>
        <b/>
        <sz val="10"/>
        <rFont val="Times New Roman"/>
        <family val="1"/>
      </rPr>
      <t>Exclude</t>
    </r>
    <r>
      <rPr>
        <sz val="10"/>
        <rFont val="Times New Roman"/>
        <family val="2"/>
      </rPr>
      <t xml:space="preserve"> accounts receivable, value of real property, and all nonsecurity assets.
This section was added to the AFR to assist with Form 33 reporting to NCES.
 </t>
    </r>
  </si>
  <si>
    <r>
      <t xml:space="preserve">Long-term debt—Report beginning and ending balances for all bonded indebtedness and any other interest-bearing debt with a term of more than 1 year on lines 1 and 4, respectively. Include bonds, notes, and loans. Report all long-term debt issued during the fiscal year on line 2. Report all principal payments made on long-term debt during the fiscal year on line 3.
Short-term debt—Report beginning and ending balances for interest-bearing debt with a term of 1 year or less such as bank revolving lines of credit and other short-term debt. Charters with short-term debt activity but no beginning and ending balances should report 0 on lines 5 and 6.
</t>
    </r>
    <r>
      <rPr>
        <b/>
        <sz val="10"/>
        <rFont val="Times New Roman"/>
        <family val="1"/>
      </rPr>
      <t>DO NOT INCLUDE</t>
    </r>
    <r>
      <rPr>
        <sz val="10"/>
        <rFont val="Times New Roman"/>
        <family val="2"/>
      </rPr>
      <t xml:space="preserve"> lease purchase agreements, compensated absences, accounts payable, and other noninterest bearing obligations in amounts reported in this section.
This section was added to the AFR to assist with Form 33 reporting to NCES.</t>
    </r>
  </si>
  <si>
    <t>Utilities and energy services</t>
  </si>
  <si>
    <r>
      <t xml:space="preserve">Report expenses for utility services, such as water and sewage services, coded to object code 6410, and energy expenses, such as electricity, gas, coal, and gasoline, coded to object codes 6621-6626. Services received from public or private utility companies should be reported here. Do </t>
    </r>
    <r>
      <rPr>
        <b/>
        <u/>
        <sz val="10"/>
        <rFont val="Times New Roman"/>
        <family val="1"/>
      </rPr>
      <t>not</t>
    </r>
    <r>
      <rPr>
        <sz val="10"/>
        <rFont val="Times New Roman"/>
        <family val="2"/>
      </rPr>
      <t xml:space="preserve"> include expenses for telephone or internet services.</t>
    </r>
  </si>
  <si>
    <t>Technology detail</t>
  </si>
  <si>
    <r>
      <t xml:space="preserve">Charters must report detailed technology-related technical services expenses, technology-related repairs and maintenance, and rental of computers and related equipment (object codes 6330, 6432, and 6441) in lines 1 through 3. </t>
    </r>
    <r>
      <rPr>
        <sz val="10"/>
        <color theme="1"/>
        <rFont val="Times New Roman"/>
        <family val="1"/>
      </rPr>
      <t xml:space="preserve">Do </t>
    </r>
    <r>
      <rPr>
        <b/>
        <sz val="10"/>
        <color theme="1"/>
        <rFont val="Times New Roman"/>
        <family val="1"/>
      </rPr>
      <t>not</t>
    </r>
    <r>
      <rPr>
        <sz val="10"/>
        <color theme="1"/>
        <rFont val="Times New Roman"/>
        <family val="1"/>
      </rPr>
      <t xml:space="preserve"> include nontechnology-related technical services expenses such as purchasing and warehouses services not related to technology.</t>
    </r>
    <r>
      <rPr>
        <sz val="10"/>
        <rFont val="Times New Roman"/>
        <family val="2"/>
      </rPr>
      <t xml:space="preserve">
Report expenses for telecommunications coded to object code 6531 on line 4. These amounts should only include expenses for telephone and voice communication services, and voicemail; data communication services to establish or maintain computer-based communications, networking, and Internet services; video communications services to establish or maintain one-way or two-way video communications via satellite, cable, or other devices billed by the service provider.
Report expenses for technology-related supplies coded to object code 6650 and technology-related hardware and software costs below the capitalization threshold on line 5. For technology-related supplies, include expenses for supplies that are typically used in conjunction with technology-related hardware or software (e.g., compact discs, flash drives, cables, and monitor stands). Technology-related hardware and software costs that exceed the capitalization threshold should be reported on line 6. Do </t>
    </r>
    <r>
      <rPr>
        <b/>
        <u/>
        <sz val="10"/>
        <rFont val="Times New Roman"/>
        <family val="1"/>
      </rPr>
      <t>not</t>
    </r>
    <r>
      <rPr>
        <sz val="10"/>
        <rFont val="Times New Roman"/>
        <family val="2"/>
      </rPr>
      <t xml:space="preserve"> include expenses for nontechnology-related equipment such as machinery, vehicles, and furniture.
</t>
    </r>
  </si>
  <si>
    <t xml:space="preserve">Charters must report detailed support services-instruction expenses for improvement of instruction and library/media services (function codes 2220 and 2230) in lines 1 and 2. </t>
  </si>
  <si>
    <t>The information included on this page is required for NPEFS reporting of COVID-19 federal relief projects. Most information on this page will be pulled with formulas from the charter's accounting data for projects identified as COVID-19 federal relief projects ("1310-1399-COVID-19 Federal Relief Projects", "1227-ARP-IDEA Preschool", and "1228-ARP-IDEA Basic"). The Charter must manually enter amounts to the nearest dollar in the orange highlighted cells, if applicable.</t>
  </si>
  <si>
    <t xml:space="preserve">Current expenses from COVID-19 federal relief projects table populates with function and object data from the Accounting data tab. Generally, line 9 should not show negative amounts. Any negative amounts displayed on line 9 will be highlighted with yellow shading. Please ensure that the Accounting Data tab was completed according to the instructions above. </t>
  </si>
  <si>
    <t>Technology Detail</t>
  </si>
  <si>
    <t xml:space="preserve">This table reports technology-related expenses from COVID-19 federal relief funds. Enter amounts for total technology spending (all functions) in column D and for classroom technology spending (functions 1000, 2100, and 2200) in column E for each item listed on lines 1 through 7. </t>
  </si>
  <si>
    <t>Technology Detail,
line 7</t>
  </si>
  <si>
    <t>Enter the total amount for instructional software coded to objects 6641—Library Books, 6642—Textbooks, and 6643—Instructional Aids. These purchases should be coded to function 1000 or 2200; therefore, the amount entered in the total spending column will pull to the classroom spending column in this line.</t>
  </si>
  <si>
    <t xml:space="preserve">Property disbursements should include actual payments made during the year for capital acquisitions, not including related capital lease or other debt service payments.  Property disbursements for nonfixed (movable) equipment in programs 100 through 630 should be allocated to functions 1000 through 4000 (other) based on the intended use of the equipment.  All other property disbursements for these programs should be included as "other". Property disbursements for Programs 700-900 must be entered into the separate table below. </t>
  </si>
  <si>
    <t>Property disbursement detail</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</si>
  <si>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capital lease or other debt service payments. Total property disbursements in this table should equal the sum of property disbursements in cell L19 and those for Programs 700-900 (cells O25, O26, and O27). If no disbursements were made during the year, enter a 0 value in each line.</t>
  </si>
  <si>
    <t>Debt service
detail</t>
  </si>
  <si>
    <t>Debt service amounts should include interest and redemption of principal for all programs. Interest expenses should be charged to object code 6850.  Redemption of principal should include payments made during the year for principal on capital leases and other long-term debt that were recorded as a reduction of the related liability.</t>
  </si>
  <si>
    <t xml:space="preserve">https://www.azauditor.gov/District_charter_ADE_COVID-19_spending_special_report_FY_2022 </t>
  </si>
  <si>
    <t>COVID-19 federal relief projects, line 1</t>
  </si>
  <si>
    <t>Report information for monies received from the charter's Elementary and Secondary School Emergency Relief I project (ESSER I) award allocation, determined by ADE. Monies received from ADE as an ARP School and Community grantee should be reported on line 6.</t>
  </si>
  <si>
    <t>COVID-19 federal relief projects, line 2</t>
  </si>
  <si>
    <t>Report information for monies received from the charter's Elementary and Secondary School Emergency Relief II project (ESSER II) award allocation, determined by ADE. Monies received from ADE as an ARP School and Community grantee should be reported on line 6.</t>
  </si>
  <si>
    <t>COVID-19 federal relief projects, line 3</t>
  </si>
  <si>
    <t>Report information for monies received from the charter's Elementary and Secondary School Emergency Relief III project (ESSER III) award allocation, determined by ADE. Monies received from ADE as an ARP School and Community grantee should be reported on line 6.</t>
  </si>
  <si>
    <t>COVID-19 federal relief projects, line 4</t>
  </si>
  <si>
    <t>Report information for monies received from the Governor's Emergency Education Relief (GEER) project here. Examples of programs distributed from GEER include the Acceleration Academy Grant, Beat the Odds Leadership Academy Grant, and Teach for America Grant.
Do not report Enrollment Stabilities Grant (ESG) information on this line. ESG should be reported on line 5, Coronavirus Relief Fund (CRF)—Enrollment Stability Grant (ESG) Program.</t>
  </si>
  <si>
    <t>COVID-19 federal relief projects, line 5</t>
  </si>
  <si>
    <t>Report information for monies received from the Coronavirus Relief Fund (CRF)—Enrollment Stability Grant (ESG) Program.</t>
  </si>
  <si>
    <t>COVID-19 federal relief projects, line 6</t>
  </si>
  <si>
    <r>
      <t xml:space="preserve">Report all other information for COVID-related monies received that cannot be appropriately reported on lines 1 through 5 of this table. Include other grants identified by ADE, the Governor's Office, and other agencies for which the charter has federal reporting responsibilities. 
</t>
    </r>
    <r>
      <rPr>
        <b/>
        <sz val="10"/>
        <rFont val="Times New Roman"/>
        <family val="1"/>
      </rPr>
      <t>DO NOT INCLUDE AMOUNTS RECEIVED AS A VENDOR OR BENEFICIARY.</t>
    </r>
    <r>
      <rPr>
        <sz val="10"/>
        <rFont val="Times New Roman"/>
        <family val="2"/>
      </rPr>
      <t xml:space="preserve">
Examples of grants identified by ADE include:
ARP-IDEA grants (USFRCS Chart of Accounts projects 1227 and 1228)
ARP Homeless grants
ARP school and community grants
Food service awards 
Grants identified by the Governor's Office include: 
Expansion and Innovation Fund microgrants
Project Momentum
Civic Innovation
Education Plus-Up
100 Day In-Person Reimbursement
AZ OnTrack Summer Camp 
Grants identified by other agencies include: 
Arizona Department of Emergency and Military Affairs (DEMA) FEMA Public Assistance Program
Emergency Connectivity Fund 
Arizona Department of Economic Security (DES)
Small Business Administration (SBA)—Paycheck Protection Program </t>
    </r>
  </si>
  <si>
    <t>COVID-19 federal relief projects, Total Award
(all fiscal years)</t>
  </si>
  <si>
    <t>COVID-19 federal relief projects, Amount Remaining to Spend/Conditional formatting</t>
  </si>
  <si>
    <t>Paycheck Protection Program
detail</t>
  </si>
  <si>
    <t>Enter Paycheck Protection Program (PPP) amounts for all fiscal years on lines 1-4. If the amount is zero, enter 0. 
Report PPP loan amounts returned to the issuing bank or the Small Business Administration on line 4.
Line 5 subtracts the amounts reported for PPP loans spent in all fiscal years (line 2) and PPP amounts returned (line 4) from total loan amount received (line 1). When the table is completed, Line 5 should equal 0. 
All PPP information should be reported on line 6 of the  COVID-19 federal relief projects table. The Total loan amount received should be reported within the Total Award (all fiscal years) and Total PPP loans spent in all fiscal years should be reported within the applicable year's expenses.</t>
  </si>
  <si>
    <t>Summary</t>
  </si>
  <si>
    <t>The Summary condenses the information in the AFR. Most information in the Summary automatically pulls from the AFR, so the AFR should be completed before the Summary. The Charter must manually enter amounts to the nearest dollar in the orange highlighted cells, if applicable.</t>
  </si>
  <si>
    <t>ADM</t>
  </si>
  <si>
    <t>Beginning Project Balances</t>
  </si>
  <si>
    <t>Adjusted Beginning Project Balance</t>
  </si>
  <si>
    <t>Reserve Balance tab</t>
  </si>
  <si>
    <t>Section A
General</t>
  </si>
  <si>
    <t>Section A
Line 1</t>
  </si>
  <si>
    <t>Section A
Line 2</t>
  </si>
  <si>
    <t>Section A
Line 3</t>
  </si>
  <si>
    <t xml:space="preserve">For the ending balance reported on line 2, charters must report the amount attributable to the specific purposes listed which identify how charters plan to use the monies in future years. Amounts reported on lines 3.a through 3.j must equal the total  balance reported on line 2. Specific instructions for lines 3.a through 3.h. are included below. Two rows are provided to describe other fund balance purposes not already listed. charters must specify the purpose for amounts included on the other lines in column B. </t>
  </si>
  <si>
    <t>Section A
Line 3.a</t>
  </si>
  <si>
    <t xml:space="preserve">For projects with a deficit balance, enter the negative amount on this line. Charters' projects may have deficit balances because expenses exceeded available resources from current revenues and prior year reserve balance and therefore, reduce the amount of resources available in future years.  </t>
  </si>
  <si>
    <t>Section A
Line 3.b</t>
  </si>
  <si>
    <t xml:space="preserve">Section A
Lines 3.d </t>
  </si>
  <si>
    <t>Report amounts set aside for future debt service principal and interest payments on long-term debt.</t>
  </si>
  <si>
    <t>Section A
Lines 3.e</t>
  </si>
  <si>
    <t xml:space="preserve">Report amounts set aside for the future purchase of land, buildings, building improvements, improvements other than buildings, equipment, or other acquisitions that will be capitalized. Additionally, this category may include funds set aside for long-term planned maintenance projects or future replacement of equipment.  </t>
  </si>
  <si>
    <t>Section A
Lines 3.f</t>
  </si>
  <si>
    <t>Report restricted cash and investments held with ASRS or in an irrevocable 115 trust for future years' retirement contribution payments (i.e., the ASRS Contribution Prepayment Program). Amounts the Charter is holding with ASRS or in an irrevocable 115 trust and plans to amortize and apply to the current year's required pension contribution payments should be included on line 3.b.</t>
  </si>
  <si>
    <t>Section A
Lines 3.g</t>
  </si>
  <si>
    <t>Report amounts set aside to manage cash flows in future budget years to cover such things as revenue shortfalls, emergencies, and/or other unforeseen circumstances.</t>
  </si>
  <si>
    <t>Section B</t>
  </si>
  <si>
    <t>Line 4</t>
  </si>
  <si>
    <t>Line 5</t>
  </si>
  <si>
    <t>Element 1</t>
  </si>
  <si>
    <t>Element 2</t>
  </si>
  <si>
    <t>Element 3</t>
  </si>
  <si>
    <t>Element 4</t>
  </si>
  <si>
    <t>Element 5</t>
  </si>
  <si>
    <t>Description</t>
  </si>
  <si>
    <t xml:space="preserve"> YTD Transactions </t>
  </si>
  <si>
    <t>Project</t>
  </si>
  <si>
    <t>Program</t>
  </si>
  <si>
    <t>Function</t>
  </si>
  <si>
    <t>Object</t>
  </si>
  <si>
    <t>Unit</t>
  </si>
  <si>
    <t>Dropdown list for Project</t>
  </si>
  <si>
    <t>Dropdown list for Program</t>
  </si>
  <si>
    <t>Dropdown list for Function</t>
  </si>
  <si>
    <t>Dropdown list for Object</t>
  </si>
  <si>
    <t>Copy and paste accounting data into cell A2. For efficiency, this file is set to collect 37,000 rows of data. If you have more than 37,000 rows, please email the Auditor General's Accountability Services Division at asd@azauditor.gov to request a larger capacity file.</t>
  </si>
  <si>
    <t>Balance Sheet (asset or liability)</t>
  </si>
  <si>
    <t>1000-Schoolwide Project</t>
  </si>
  <si>
    <t>1010-Classroom Site Project</t>
  </si>
  <si>
    <t>6100-Salaries</t>
  </si>
  <si>
    <t>1020-Instructional Improvement Project</t>
  </si>
  <si>
    <t>100-Regular Education</t>
  </si>
  <si>
    <t>1000-Instruction</t>
  </si>
  <si>
    <t>6200-Employee Benefits</t>
  </si>
  <si>
    <t>200-Special Education</t>
  </si>
  <si>
    <t>1900-Other Instructional Staff</t>
  </si>
  <si>
    <t>6300-6400-6500-Purchased Services</t>
  </si>
  <si>
    <t>260-English Language Learners Incremental Costs</t>
  </si>
  <si>
    <t>2100-Support Services-Students</t>
  </si>
  <si>
    <t>6600-Supplies</t>
  </si>
  <si>
    <t>1100-1130-ESEA Title I - Helping Disadvantaged Children</t>
  </si>
  <si>
    <t>265-English Language Learners Compensatory Instruction</t>
  </si>
  <si>
    <t>2200-Support Services-Instruction</t>
  </si>
  <si>
    <t>6700-Property (depreciation &amp; impairments)</t>
  </si>
  <si>
    <t>1140-1150-ESEA Title II  - Prof. Dev. And Technology</t>
  </si>
  <si>
    <t>270-Vocational and Technical Education</t>
  </si>
  <si>
    <t>2220-Improvement of Instruction</t>
  </si>
  <si>
    <t>6810-Dues &amp; Fees</t>
  </si>
  <si>
    <t>400-Pupil Transportation</t>
  </si>
  <si>
    <t>2230-Library/Media Services</t>
  </si>
  <si>
    <t>6820-Judgments Against a Charter</t>
  </si>
  <si>
    <t>430-Pupil Transportation-ELL Incremental Costs</t>
  </si>
  <si>
    <t>2300-Support Services-General Administration</t>
  </si>
  <si>
    <t>6850-Interest</t>
  </si>
  <si>
    <t>435-Pupil Transportation-ELL Compensatory Instruction</t>
  </si>
  <si>
    <t>2400-Support Services-School Administration</t>
  </si>
  <si>
    <t>6890-Miscellaneous</t>
  </si>
  <si>
    <t>530-Dropout Prevention Programs</t>
  </si>
  <si>
    <t>2500-Central Services</t>
  </si>
  <si>
    <t>6830-6840-6860-6870 Other Expenses and Losses</t>
  </si>
  <si>
    <t>1210-ESEA Title VI - Flexibility and Accountability</t>
  </si>
  <si>
    <t>540-Joint Career &amp; Technical Ed. &amp; Vocational Ed. Center</t>
  </si>
  <si>
    <t>2600-Operation and Maintenance of Plant</t>
  </si>
  <si>
    <t>6900-Other Objects (Indirect Costs)</t>
  </si>
  <si>
    <t>1220-IDEA, Part B</t>
  </si>
  <si>
    <t>550-K-3 Reading Program</t>
  </si>
  <si>
    <t>2700-Student Transportation</t>
  </si>
  <si>
    <t>1310-Tuition from Individuals</t>
  </si>
  <si>
    <t>610-School-Sponsored Cocurricular Activities</t>
  </si>
  <si>
    <t>2900-Other Support Services</t>
  </si>
  <si>
    <t>1320-Tuition from Other Arizona Schools or Districts</t>
  </si>
  <si>
    <t>620-School-Sponsored Athletics</t>
  </si>
  <si>
    <t>3100-Food Service Operations</t>
  </si>
  <si>
    <t>1410-Transportation Fees from Individuals</t>
  </si>
  <si>
    <t>630-Other Instructional Programs</t>
  </si>
  <si>
    <t>3300-Community Service Operations</t>
  </si>
  <si>
    <t>1420-Transportation Fees from Other Arizona Schools or Districts</t>
  </si>
  <si>
    <t>700-Adult/Continuing Education Programs</t>
  </si>
  <si>
    <t>3400-Bookstore Operations</t>
  </si>
  <si>
    <t>1500-Earnings on Investments</t>
  </si>
  <si>
    <t>800-Community College Education Programs</t>
  </si>
  <si>
    <t>4000-Facilities Acquisition &amp; Construction</t>
  </si>
  <si>
    <t>1600-Food Service</t>
  </si>
  <si>
    <t>900-Community Services Programs</t>
  </si>
  <si>
    <t>5000-Debt Service</t>
  </si>
  <si>
    <t xml:space="preserve">1700-School Activities </t>
  </si>
  <si>
    <t>1750-Revenue from Enterprise Activities</t>
  </si>
  <si>
    <t>1790-Extracurricular Activities Fees Tax Credit</t>
  </si>
  <si>
    <t>1300-Charter School Implementation Project (Stimulus)</t>
  </si>
  <si>
    <t>1800-Revenue from Community Services Activities</t>
  </si>
  <si>
    <t>1920-Contributions and Donations from Private Sources</t>
  </si>
  <si>
    <t>1310-1399-Other Federal Projects</t>
  </si>
  <si>
    <t>Other Revenue from Local Sources</t>
  </si>
  <si>
    <t>2100-Unrestricted Revenue from Intermediate Sources</t>
  </si>
  <si>
    <t>2200-Restricted Revenue from Intermediate Sources</t>
  </si>
  <si>
    <t>Other Revenue from Intermediate Sources</t>
  </si>
  <si>
    <t>3110-State Equalization Assistance</t>
  </si>
  <si>
    <t>3130-3150-Other Unrestricted Revenue from State Sources</t>
  </si>
  <si>
    <t>3200-Restricted Revenue from State Sources</t>
  </si>
  <si>
    <t>3900-Revenue for/on Behalf of the School</t>
  </si>
  <si>
    <t>Other Revenue from State Sources</t>
  </si>
  <si>
    <t>4100, 4300-Unrestricted/Restricted Received Directly from the Federal Government</t>
  </si>
  <si>
    <t>4200, 4500-Unrestricted/Restricted Received from the Federal Government through the State</t>
  </si>
  <si>
    <t>4700-Revenue Received from the Federal Government through Other Intermediate Agencies</t>
  </si>
  <si>
    <t>4800-Federal Impact Aid</t>
  </si>
  <si>
    <t>1470-1499-Other State Projects</t>
  </si>
  <si>
    <t>4900-Revenue for/on Behalf of the School</t>
  </si>
  <si>
    <t>Other Revenue from Federal Sources</t>
  </si>
  <si>
    <t>Project(s)</t>
  </si>
  <si>
    <t>Program(s)</t>
  </si>
  <si>
    <t>Function(s)</t>
  </si>
  <si>
    <t>Object(s)</t>
  </si>
  <si>
    <t xml:space="preserve">Amount </t>
  </si>
  <si>
    <t>all</t>
  </si>
  <si>
    <t xml:space="preserve">9999-Other Non PSD-12 Projects </t>
  </si>
  <si>
    <t>700-900</t>
  </si>
  <si>
    <t xml:space="preserve">Total for all Projects (excluding 9999-Other Non PSD-12 Projects ), Programs 100-630, Function 1000, and Object 6100 </t>
  </si>
  <si>
    <t xml:space="preserve">Total for all Projects (excluding 9999-Other Non PSD-12 Projects ), Programs 100-630, Function 2100, and Object 6100 </t>
  </si>
  <si>
    <t xml:space="preserve">Total for all Projects (excluding 9999-Other Non PSD-12 Projects ), Programs 100-630, Function 2200, and Object 6100 </t>
  </si>
  <si>
    <t xml:space="preserve">Total for all Projects (excluding 9999-Other Non PSD-12 Projects ), Programs 100-630, Function 2300, and Object 6100 </t>
  </si>
  <si>
    <t xml:space="preserve">Total for all Projects (excluding 9999-Other Non PSD-12 Projects ), Programs 100-630, Function 2400, and Object 6100 </t>
  </si>
  <si>
    <t xml:space="preserve">Total for all Projects (excluding 9999-Other Non PSD-12 Projects ), Programs 100-630, Function 2500, and Object 6100 </t>
  </si>
  <si>
    <t xml:space="preserve">Total for all Projects (excluding 9999-Other Non PSD-12 Projects ), Programs 100-630, Function 2900, and Object 6100 </t>
  </si>
  <si>
    <t xml:space="preserve">Total for all Projects (excluding 9999-Other Non PSD-12 Projects ), Programs 100-630, Function 2600, and Object 6100 </t>
  </si>
  <si>
    <t xml:space="preserve">Total for all Projects (excluding 9999-Other Non PSD-12 Projects ), Programs 100-630, Function 2700, and Object 6100 </t>
  </si>
  <si>
    <t xml:space="preserve">Total for all Projects (excluding 9999-Other Non PSD-12 Projects ), Programs 100-630, Function 3100, and Object 6100 </t>
  </si>
  <si>
    <t xml:space="preserve">Total for all Projects (excluding 9999-Other Non PSD-12 Projects ), Programs 100-630, Function 3400, and Object 6100 </t>
  </si>
  <si>
    <t xml:space="preserve">Total for all Projects (excluding 9999-Other Non PSD-12 Projects ), Programs 100-630, Function 4000, and Object 6100 </t>
  </si>
  <si>
    <t>Total for all Projects (excluding 9999-Other Non PSD-12 Projects ), Programs 100-630, All Functions except 4000, and Object 6100</t>
  </si>
  <si>
    <t>1100-1399</t>
  </si>
  <si>
    <t xml:space="preserve">Total for Projects 1100-1399, Programs 100-630, Functions 1000-3000, and Object 6100 </t>
  </si>
  <si>
    <t xml:space="preserve">Total for all Projects (excluding 9999-Other Non PSD-12 Projects ), Programs 100-630, Function 1000, and Object 6200 </t>
  </si>
  <si>
    <t xml:space="preserve">Total for all Projects (excluding 9999-Other Non PSD-12 Projects ), Programs 100-630, Function 2100, and Object 6200 </t>
  </si>
  <si>
    <t xml:space="preserve">Total for all Projects (excluding 9999-Other Non PSD-12 Projects ), Programs 100-630, Function 2200, and Object 6200 </t>
  </si>
  <si>
    <t xml:space="preserve">Total for all Projects (excluding 9999-Other Non PSD-12 Projects ), Programs 100-630, Function 2300, and Object 6200 </t>
  </si>
  <si>
    <t xml:space="preserve">Total for all Projects (excluding 9999-Other Non PSD-12 Projects ), Programs 100-630, Function 2400, and Object 6200 </t>
  </si>
  <si>
    <t xml:space="preserve">Total for all Projects (excluding 9999-Other Non PSD-12 Projects ), Programs 100-630, Function 2500, and Object 6200 </t>
  </si>
  <si>
    <t xml:space="preserve">Total for all Projects (excluding 9999-Other Non PSD-12 Projects ), Programs 100-630, Function 2900, and Object 6200 </t>
  </si>
  <si>
    <t xml:space="preserve">Total for all Projects (excluding 9999-Other Non PSD-12 Projects ), Programs 100-630, Function 2600, and Object 6200 </t>
  </si>
  <si>
    <t xml:space="preserve">Total for all Projects (excluding 9999-Other Non PSD-12 Projects ), Programs 100-630, Function 2700, and Object 6200 </t>
  </si>
  <si>
    <t xml:space="preserve">Total for all Projects (excluding 9999-Other Non PSD-12 Projects ), Programs 100-630, Function 3100, and Object 6200 </t>
  </si>
  <si>
    <t xml:space="preserve">Total for all Projects (excluding 9999-Other Non PSD-12 Projects ), Programs 100-630, Function 3400, and Object 6200 </t>
  </si>
  <si>
    <t xml:space="preserve">Total for all Projects(excluding 9999-Other Non PSD-12 Projects ), Programs 100-630, Function 4000, and Object 6200 </t>
  </si>
  <si>
    <t>Total for all Projects (excluding 9999-Other Non PSD-12 Projects ), Programs 100-630, All Functions excluding 4000, and Object 6200</t>
  </si>
  <si>
    <t xml:space="preserve">Total for Projects 1100-1399, Programs 100-630, Functions 1000-3000, and Object 6200 </t>
  </si>
  <si>
    <t>6300, 6400, and 6500</t>
  </si>
  <si>
    <t>Total for all Projects (excluding 9999-Other Non PSD-12 Projects ), Programs 100-630, Function 1000, and Object 6300, 6400, and 6500</t>
  </si>
  <si>
    <t>Total for all Projects (excluding 9999-Other Non PSD-12 Projects ), Programs 100-630, Function 2100, and Object 6300, 6400, and 6500</t>
  </si>
  <si>
    <t>Total for all Projects (excluding 9999-Other Non PSD-12 Projects ), Programs 100-630, Function 2200, and Object 6300, 6400, and 6500</t>
  </si>
  <si>
    <t>Total for all Projects (excluding 9999-Other Non PSD-12 Projects ), Programs 100-630, Function 2300, and Object 6300, 6400, and 6500</t>
  </si>
  <si>
    <t>Total for all Projects (excluding 9999-Other Non PSD-12 Projects ), Programs 100-630, Function 2400, and Object 6300, 6400, and 6500</t>
  </si>
  <si>
    <t>Total for all Projects (excluding 9999-Other Non PSD-12 Projects ), Programs 100-630, Function 2500, and Object 6300, 6400, and 6500</t>
  </si>
  <si>
    <t>Total for all Projects (excluding 9999-Other Non PSD-12 Projects ), Programs 100-630, Function 2900, and Object 6300, 6400, and 6500</t>
  </si>
  <si>
    <t>Total for all Projects (excluding 9999-Other Non PSD-12 Projects ), Programs 100-630, Function 2600, and Object 6300, 6400, and 6500</t>
  </si>
  <si>
    <t>Total for all Projects (excluding 9999-Other Non PSD-12 Projects ), Programs 100-630, Function 2700, and Object 6300, 6400, and 6500</t>
  </si>
  <si>
    <t xml:space="preserve">Total for all Projects (excluding 9999-Other Non PSD-12 Projects ), Programs 100-630, Function 3100, and Object 6300, 6400, and 6500 </t>
  </si>
  <si>
    <t>Total for all Projects (excluding 9999-Other Non PSD-12 Projects ), Programs 100-630, Function 3400, and Object 6300, 6400, and 6500</t>
  </si>
  <si>
    <t>Total for all Projects (excluding 9999-Other Non PSD-12 Projects ), Programs 100-630, Function 4000, and Object 6300, 6400, and 6500</t>
  </si>
  <si>
    <t>Total for all Projects (excluding 9999-Other Non PSD-12 Projects ), Programs 100-630, All Functions excluding 4000, and Objects 6300, 6400, and 6500</t>
  </si>
  <si>
    <t xml:space="preserve">Total for Projects 1100-1399, Programs 100-630, Functions 1000-3000, and Object 6300 </t>
  </si>
  <si>
    <t xml:space="preserve">Total for Projects 1100-1399, Programs 100-630, Functions 1000-3000, and Object 6400 </t>
  </si>
  <si>
    <t xml:space="preserve">Total for Projects 1100-1399, Programs 100-630, Functions 1000-3000, and Object 6500 </t>
  </si>
  <si>
    <t xml:space="preserve">Total for Projects 1100-1399, Programs 100-630, Functions 1000-3000, and Objects 6300,6400 and 6500 </t>
  </si>
  <si>
    <t>Total for all Projects (excluding 9999-Other Non PSD-12 Projects ), Programs 100-630, Function 1000, and Object 6600</t>
  </si>
  <si>
    <t>Total for all Projects (excluding 9999-Other Non PSD-12 Projects ), Programs 100-630, Function 2100, and Object 6600</t>
  </si>
  <si>
    <t>Total for all Projects (excluding 9999-Other Non PSD-12 Projects ), Programs 100-630, Function 2200, and Object 6600</t>
  </si>
  <si>
    <t>Total for all Projects (excluding 9999-Other Non PSD-12 Projects ), Programs 100-630, Function 2300, and Object 6600</t>
  </si>
  <si>
    <t>Total for all Projects (excluding 9999-Other Non PSD-12 Projects ), Programs 100-630, Function 2400, and Object 6600</t>
  </si>
  <si>
    <t>Total for all Projects (excluding 9999-Other Non PSD-12 Projects ), Programs 100-630, Function 2500, and Object 6600</t>
  </si>
  <si>
    <t>Total for all Projects (excluding 9999-Other Non PSD-12 Projects ), Programs 100-630, Function 2900, and Object 6600</t>
  </si>
  <si>
    <t>Total for all Projects (excluding 9999-Other Non PSD-12 Projects ), Programs 100-630, Function 2600, and Object 6600</t>
  </si>
  <si>
    <t>Total for all Projects (excluding 9999-Other Non PSD-12 Projects ), Programs 100-630, Function 2700, and Object 6600</t>
  </si>
  <si>
    <t>Total for all Projects (excluding 9999-Other Non PSD-12 Projects ), Programs 100-630, Function 3100, and Object 6600</t>
  </si>
  <si>
    <t>Total for all Projects (excluding 9999-Other Non PSD-12 Projects ), Programs 100-630, Function 3400, and Object 6600</t>
  </si>
  <si>
    <t>Total for all Projects (excluding 9999-Other Non PSD-12 Projects ), Programs 100-630, Function 4000, and Object 6600</t>
  </si>
  <si>
    <t>Total for all Projects (excluding 9999-Other Non PSD-12 Projects ), Programs 100-630, All Functions excluding 4000, and Object 6600</t>
  </si>
  <si>
    <t>Total for Projects 1100-1399, Programs 100-630, Functions 1000-3000, and Object 6600</t>
  </si>
  <si>
    <t>Total for all Projects (excluding 9999-Other Non PSD-12 Projects ), Programs 100-630, Function 1000, and Object 6810</t>
  </si>
  <si>
    <t>Total for all Projects (excluding 9999-Other Non PSD-12 Projects ), Programs 100-630, Function 2100, and Object 6810</t>
  </si>
  <si>
    <t>Total for all Projects (excluding 9999-Other Non PSD-12 Projects ), Programs 100-630, Function 2200, and Object 6810</t>
  </si>
  <si>
    <t>Total for all Projects (excluding 9999-Other Non PSD-12 Projects ), Programs 100-630, Function 2300, and Object 6810</t>
  </si>
  <si>
    <t>Total for all Projects (excluding 9999-Other Non PSD-12 Projects ), Programs 100-630, Function 2400, and Object 6810</t>
  </si>
  <si>
    <t>Total for all Projects (excluding 9999-Other Non PSD-12 Projects ), Programs 100-630, Function 2500, and Object 6810</t>
  </si>
  <si>
    <t>Total for all Projects (excluding 9999-Other Non PSD-12 Projects ), Programs 100-630, Function 2900, and Object 6810</t>
  </si>
  <si>
    <t>Total for all Projects (excluding 9999-Other Non PSD-12 Projects ), Programs 100-630, Function 2600, and Object 6810</t>
  </si>
  <si>
    <t>Total for all Projects (excluding 9999-Other Non PSD-12 Projects ), Programs 100-630, Function 2700, and Object 6810</t>
  </si>
  <si>
    <t>Total for all Projects (excluding 9999-Other Non PSD-12 Projects ), Programs 100-630, Function 3100, and Object 6810</t>
  </si>
  <si>
    <t>Total for all Projects (excluding 9999-Other Non PSD-12 Projects ), Programs 100-630, Function 3400, and Object 6810</t>
  </si>
  <si>
    <t>Total for all Projects (excluding 9999-Other Non PSD-12 Projects ), Programs 100-630, Function 4000, and Object 6810</t>
  </si>
  <si>
    <t>Total for all Projects (excluding 9999-Other Non PSD-12 Projects ), Programs 100-630, All Functions excluding 4000, and Object 6810</t>
  </si>
  <si>
    <t>Total for Projects 1100-1399, Programs 100-630, Functions 1000-3000, and Object 6810</t>
  </si>
  <si>
    <t>Total for all Projects (excluding 9999-Other Non PSD-12 Projects ), Programs 100-630, Function 2300, and Object 6820</t>
  </si>
  <si>
    <t>Total for Projects 1100-1399, Programs 100-630, Function 2300, and Object 6820</t>
  </si>
  <si>
    <t>Total for all Projects (excluding 9999-Other Non PSD-12 Projects ), Programs 100-630, Function 2500, and Object 6850</t>
  </si>
  <si>
    <t>Total for Projects 1100-1399, Programs 100-630, Functions 2500, and Object 6850</t>
  </si>
  <si>
    <t>Total for all Projects (excluding 9999-Other Non PSD-12 Projects ), Programs 100-630, Function 1000, and Object 6890</t>
  </si>
  <si>
    <t>Total for all Projects (excluding 9999-Other Non PSD-12 Projects ), Programs 100-630, Function 2100, and Object 6890</t>
  </si>
  <si>
    <t>Total for all Projects (excluding 9999-Other Non PSD-12 Projects ), Programs 100-630, Function 2200, and Object 6890</t>
  </si>
  <si>
    <t>Total for all Projects (excluding 9999-Other Non PSD-12 Projects ), Programs 100-630, Function 2300, and Object 6890</t>
  </si>
  <si>
    <t>Total for all Projects (excluding 9999-Other Non PSD-12 Projects ), Programs 100-630, Function 2400, and Object 6890</t>
  </si>
  <si>
    <t>Total for all Projects (excluding 9999-Other Non PSD-12 Projects ), Programs 100-630, Function 2500, and Object 6890</t>
  </si>
  <si>
    <t>Total for all Projects (excluding 9999-Other Non PSD-12 Projects ), Programs 100-630, Function 2900, and Object 6890</t>
  </si>
  <si>
    <t>Total for all Projects (excluding 9999-Other Non PSD-12 Projects ), Programs 100-630, Function 2600, and Object 6890</t>
  </si>
  <si>
    <t>Total for all Projects (excluding 9999-Other Non PSD-12 Projects ), Programs 100-630, Function 2700, and Object 6890</t>
  </si>
  <si>
    <t>Total for all Projects (excluding 9999-Other Non PSD-12 Projects ), Programs 100-630, Function 3100, and Object 6890</t>
  </si>
  <si>
    <t>Total for all Projects (excluding 9999-Other Non PSD-12 Projects ), Programs 100-630, Function 3200, and Object 6890</t>
  </si>
  <si>
    <t>Total for all Projects (excluding 9999-Other Non PSD-12 Projects ), Programs 100-630, Function 3400, and Object 6890</t>
  </si>
  <si>
    <t>Total for all Projects (excluding 9999-Other Non PSD-12 Projects ), Programs 100-630, Function 4000, and Object 6890</t>
  </si>
  <si>
    <t>Total for all Projects (excluding 9999-Other Non PSD-12 Projects ), Programs 100-630, All Functions excluding 4000, and Object 6890</t>
  </si>
  <si>
    <t>Total for Projects 1100-1399, Programs 100-630, Functions 1000-3000, and Object 6890</t>
  </si>
  <si>
    <t>Total for all Projects (excluding 9999-Other Non PSD-12 Projects ), Programs 700-900, Function 1000, and all 6000 Objects, excluding 6700 and 6900</t>
  </si>
  <si>
    <t>Total for all Projects (excluding 9999-Other Non PSD-12 Projects ), Programs 700-900, Function 2100, and all 6000 Objects, excluding 6700 and 6900</t>
  </si>
  <si>
    <t>Total for all Projects (excluding 9999-Other Non PSD-12 Projects ), Programs 700-900, Function 2200, and all 6000 Objects, excluding 6700 and 6900</t>
  </si>
  <si>
    <t>Total for all Projects (excluding 9999-Other Non PSD-12 Projects ), Programs 700-900, Function 2300, and all 6000 Objects, excluding 6700 and 6900</t>
  </si>
  <si>
    <t>Total for all Projects (excluding 9999-Other Non PSD-12 Projects ), Programs 700-900, Function 2400, and all 6000 Objects, excluding 6700 and 6900</t>
  </si>
  <si>
    <t>Total for all Projects (excluding 9999-Other Non PSD-12 Projects ), Programs 700-900, Function 2500, and all 6000 Objects, excluding 6700 and 6900</t>
  </si>
  <si>
    <t>Total for all Projects (excluding 9999-Other Non PSD-12 Projects ), Programs 700-900, Function 2900, and all 6000 Objects, excluding 6700 and 6900</t>
  </si>
  <si>
    <t>Total for all Projects (excluding 9999-Other Non PSD-12 Projects ), Programs 700-900, Function 2600, and all 6000 Objects, excluding 6700 and 6900</t>
  </si>
  <si>
    <t>Total for all Projects (excluding 9999-Other Non PSD-12 Projects ), Programs 700-900, Function 3100, and all 6000 Objects, excluding 6700 and 6900</t>
  </si>
  <si>
    <t>Total for all Projects (excluding 9999-Other Non PSD-12 Projects ), Programs 700-900, Function 3300, and all 6000 Objects, excluding 6700 and 6900</t>
  </si>
  <si>
    <t>Total for all Projects (excluding 9999-Other Non PSD-12 Projects ), Programs 700-900, Function 3400, and all 6000 Objects, excluding 6700 and 6900</t>
  </si>
  <si>
    <t>Total for all Projects (excluding 9999-Other Non PSD-12 Projects ), Programs 700-900, Function 4000, and all 6000 Objects, excluding 6700 and 6900</t>
  </si>
  <si>
    <t>Total for all Projects (excluding 9999-Other Non PSD-12 Projects ), Programs 700-900, Function 5000, and all 6000 Objects, excluding 6700 and 6900</t>
  </si>
  <si>
    <t>Total for all Projects (excluding 9999-Other Non PSD-12 Projects ), Programs 700-900, All Functions except 4000-5000, and all 6000 Objects, excluding 6700 and 6900</t>
  </si>
  <si>
    <t>Total for Projects 1100-1399, Programs 700-900, All Functions, and all 6000 Objects excluding 6900</t>
  </si>
  <si>
    <t>900-949</t>
  </si>
  <si>
    <t>Total for 9999-Other Non PSD-12 Projects, All Programs, All Functions, All 6000 Objects</t>
  </si>
  <si>
    <t>Total for all Projects (excluding 9999-Other Non PSD-12 Projects ), Programs 100-630, Function 5000, and Object 6850</t>
  </si>
  <si>
    <t>Total for all Projects (excluding 9999-Other Non PSD-12 Projects ), Programs 100-630, Function 1000, and Object 6800</t>
  </si>
  <si>
    <t>Total for all Projects (excluding 9999-Other Non PSD-12 Projects ), Programs 100-630, Function 2100, and Object 6800</t>
  </si>
  <si>
    <t>Total for all Projects (excluding 9999-Other Non PSD-12 Projects ), Programs 100-630, Function 2200, and Object 6800</t>
  </si>
  <si>
    <t>Total for all Projects (excluding 9999-Other Non PSD-12 Projects ), Programs 100-630, Function 2300, and Object 6800</t>
  </si>
  <si>
    <t>Total for all Projects (excluding 9999-Other Non PSD-12 Projects ), Programs 100-630, Function 2400, and Object 6800</t>
  </si>
  <si>
    <t>Total for all Projects (excluding 9999-Other Non PSD-12 Projects ), Programs 100-630, Function 2500, and Object 6800</t>
  </si>
  <si>
    <t>Total for all Projects (excluding 9999-Other Non PSD-12 Projects ), Programs 100-630, Function 2900, and Object 6800</t>
  </si>
  <si>
    <t>Total for all Projects (excluding 9999-Other Non PSD-12 Projects ), Programs 100-630, Function 2600, and Object 6800</t>
  </si>
  <si>
    <t>Total for all Projects (excluding 9999-Other Non PSD-12 Projects ), Programs 100-630, Function 2700, and Object 6800</t>
  </si>
  <si>
    <t>Total for all Projects (excluding 9999-Other Non PSD-12 Projects ), Programs 100-630, Function 3100, and Object 6800</t>
  </si>
  <si>
    <t>Total for all Projects (excluding 9999-Other Non PSD-12 Projects ), Programs 100-630, Function 3400, and Object 6800</t>
  </si>
  <si>
    <t>Total for all Projects (excluding 9999-Other Non PSD-12 Projects ), Programs 700-900, All Functions except 4000, and Object 6800</t>
  </si>
  <si>
    <t>Total for Projects 1100-1399, Programs 100-630, Functions 1000-3000, and Object 6800</t>
  </si>
  <si>
    <t>Total for all Projects (excluding 9999-Other Non PSD-12 Projects ), Programs 100-630, Function 4000, and Object 6800</t>
  </si>
  <si>
    <t>Total for all Projects (excluding 9999-Other Non PSD-12 Projects ), Programs 100-630, Function 1900, and Object 6100</t>
  </si>
  <si>
    <t xml:space="preserve">Total for Projects 1100-1399, Programs 100-630, Functions 1900, and Object 6100 </t>
  </si>
  <si>
    <t>Total for State and Local Projects, Programs 100-630, Functions 1900, and Object 6100</t>
  </si>
  <si>
    <t>Total for all Projects (excluding 9999-Other Non PSD-12 Projects ), Programs 100-630, Function 5000, and Object 6800</t>
  </si>
  <si>
    <t>The Charter should complete the Cover, School listing, and Accounting data tabs first. This file has been designed to populate most amounts automatically based on provided accounting data. The Charter must manually enter amounts to the nearest dollar in the orange highlighted cells. Do not enter information in the shaded areas or protected cells and do not change formulas. Charters must follow all instructions to ensure uploaded files will pass validation checks.</t>
  </si>
  <si>
    <t>B. Project balance reserve process or policy</t>
  </si>
  <si>
    <t>Governing Board policy number (N/A if no adopted policy exists):</t>
  </si>
  <si>
    <t>Does the Charter operate additional school sites with resources that are not reflected in the project balances reported in section A?</t>
  </si>
  <si>
    <t xml:space="preserve">Is the Charter a part of another financial reporting entity (e.g., a larger nonprofit organization) with resources that are not reflected in the project balances reported in Section A? </t>
  </si>
  <si>
    <t xml:space="preserve">     Total federal and State projects (lines 18 and 32)</t>
  </si>
  <si>
    <t xml:space="preserve">     Total State projects (lines 20-31)</t>
  </si>
  <si>
    <t>A. Project balance amounts and planned uses</t>
  </si>
  <si>
    <t>Total project balance (should agree to amount on line 2)</t>
  </si>
  <si>
    <t>Does the Charter have a process or policy it follows to establish a targeted (goal) project balance reserve level that the Charter is working to maintain each year? (Yes or No in cell F26) If the Charter has an adopted Governing Board policy, enter the policy number in the box provided (cell G26).</t>
  </si>
  <si>
    <t>Arizona charter schools may operate in a variety ways including as a single school or as multiple school sites under 1 charter holder or charter management organization. A charter's operating structure may affect project balance decisions. The questions below are intended to provide clarifying information on a charter's operating format for users to consider when reviewing the specific project balance information reported on this page.</t>
  </si>
  <si>
    <t>This tab presents information on the amount and planned use of the Charter's project's balances to increase transparency and provide decision-makers, other stakeholders, and the public more complete financial information. It also presents information about policies or guidelines the Charter used to establish target project balance reserve amounts.</t>
  </si>
  <si>
    <t>Prior year ending project balance</t>
  </si>
  <si>
    <t>Current year ending project balance</t>
  </si>
  <si>
    <r>
      <t>This line pulls in current year ending balances from the Summar</t>
    </r>
    <r>
      <rPr>
        <sz val="10"/>
        <rFont val="Times New Roman"/>
        <family val="2"/>
      </rPr>
      <t>y tab for all projects.</t>
    </r>
  </si>
  <si>
    <t>Section A
Lines 3.c, through h</t>
  </si>
  <si>
    <t>Section B provides information about any process or policy the Charter uses to establish targeted (goal) project balance reserve amounts.</t>
  </si>
  <si>
    <t>Charters should use this space to describe any planned actions related to its project balance amounts going forward, including increasing reserves that do not meet targeted levels or using excess amounts held in reserve beyond the adopted targeted reserve level. Also, describe any planned actions to change targeted reserve levels or formally adopt policies related to reserve levels, if not already in place. This space may also be used to describe why amounts are maintained for the purposes reported in section A and more detailed information on the Charter's plans for using maintained fund balances in future years. If the Charter's ending balance is negative, describe actions planned to eliminate the deficits (negative amounts).</t>
  </si>
  <si>
    <t>Federal and State projects, line 33</t>
  </si>
  <si>
    <t xml:space="preserve">Amounts for indirect costs, expenses, capital acquisitions, redemption of principal, and ending balance should agree with the Charter's completion reports filed with the ADE Grants Management Office. Manually enter in any amounts for reversions (monies returned to the grantor) and capital acquisitions and principal payments.
Do not include payments for depreciation or impairment expense.  
Report expenses related to monies remaining in Project 1457—Results-based Funding on line 31—Other State Projects, along with any other State project funds not included on lines 20 through 30 above.
  </t>
  </si>
  <si>
    <t>Report property disbursement, interest, and redemption of principal payments made in accordance with §15-977. Property disbursements should include payments for capital acquisitions, not including related capital lease or other debt service payments. Interest expenses will be charged to object code 6850. Redemption of principal should include payments for principal on leases and other long-term debt that reduced the related liability.</t>
  </si>
  <si>
    <t>(see Reserve balance tab for more detail)</t>
  </si>
  <si>
    <t>Page 1, line 21. 3200-Restricted revenues should be greater than or equal to total revenue amounts on pages 3-5 for CSP, IIP, ELLP and CIP. Ensure revenues are properly recorded for Classroom Site Project on page 3, line 11; Instructional Improvement Project on page 4, line 7; English Language Learner Project on page 5, line 1 and Compensatory Instruction Project, page 5, line 15. As these revenues are all considered restricted revenues from State sources, these amounts should be included in the amount reported on page 1, line 21. In addition, any restricted revenues received for State projects, as reported on page 8, should also be included, as appropriate.</t>
  </si>
  <si>
    <t>Page 6, section C is not complete. Ensure all expenses for capital acquisitions are reported on page 6, section C, lines 1-6. If the Charter does not have any applicable capital acquisitions to report, enter a 0 on the line item(s) as applicable. Lines 1-6 cannot be left blank.</t>
  </si>
  <si>
    <t>Page 6, section E, current expenses table is not complete. Ensure current expenses reported on page 6, section E are accurate. Lines 1, 2, 3, and 5 cannot be 0 or left blank.</t>
  </si>
  <si>
    <t>Property disbursements should include actual payments made during the year for capital acquisitions, not including related finance lease or other debt service payments.  Property disbursements for nonfixed (movable) equipment in programs 100 through 600 should be allocated to functions 1000 through 4000 based on the intended use of the equipment.  All other property disbursements for these programs should be included in function 4000.</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</si>
  <si>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finance lease or other debt service payments. Total property disbursements in this table should equal the sum of property disbursements in the 2 preceding tables above. If no disbursements were made during the year, enter a 0 value in each line.</t>
  </si>
  <si>
    <t>Debt service amounts should include interest, redemption of principal, and other expenses  for programs 100-630. Interest should be expenses charged to object code 6850.  Redemption of principal should include payments made during the year for principal on finance leases and other long-term debt that were recorded as a reduction of the related liability. All other expenses coded within the 6800 object range, function 5000, should be included in line 6800 Other.</t>
  </si>
  <si>
    <t>The amounts in this column calculate automatically based on columns D, E, and F on each line. Any negative amounts, will be highlighted in yellow. To correct negative amounts in these cells, verify that spending reported in columns E through F does not exceed the total award reported in column D. All amounts entered into this form should be rounded to the nearest whole dollar. This column may also show negative amounts if cents are entered in the award or spending columns.
For further assistance with this issue, please contact the Auditor General's Accountability Services Division at (602) 977-2796 or email asd@azauditor.gov.</t>
  </si>
  <si>
    <t>Charters must manually enter total award and spending information for the various COVID-19 grants listed in lines 1 through 6 of this table. Charters can refer to the Auditor General's COVID-19 Spending Special Report Followup, Dashboard B, for previously reported grant award and prior years' spending information, when completing this table. Detailed instructions regarding the amounts that should be included in each row and column are included below.</t>
  </si>
  <si>
    <t>Classroom Site Project (from page 3, lines 6 and 8)</t>
  </si>
  <si>
    <t>Federal and State Projects (from page 8, line 33)</t>
  </si>
  <si>
    <t>(1)  Include the value of USDA Commodities on this line (excluding freight), as well as cash received from the USDA instead of commodities.</t>
  </si>
  <si>
    <t xml:space="preserve">     [This amount will be used to determine charter compliance with State matching requirements pursuant to CFR Title 7, §210.17(a).]</t>
  </si>
  <si>
    <t>E.  State Equalization Assistance expended for food service, function 3100</t>
  </si>
  <si>
    <t xml:space="preserve">     Number of 1/2 pint milk units served to children</t>
  </si>
  <si>
    <t>D.  Special Milk Program</t>
  </si>
  <si>
    <t xml:space="preserve">           </t>
  </si>
  <si>
    <t xml:space="preserve">      Total  (must equal total on line 11 above)</t>
  </si>
  <si>
    <t xml:space="preserve">     6. Paid snack</t>
  </si>
  <si>
    <t xml:space="preserve">      Other</t>
  </si>
  <si>
    <t xml:space="preserve">     5. Paid lunch</t>
  </si>
  <si>
    <t xml:space="preserve">      Management fee</t>
  </si>
  <si>
    <t xml:space="preserve">     4. Paid breakfast</t>
  </si>
  <si>
    <t xml:space="preserve">      Food</t>
  </si>
  <si>
    <t xml:space="preserve">     3. Reduced snack</t>
  </si>
  <si>
    <t xml:space="preserve">      Supplies and materials (nonfood)</t>
  </si>
  <si>
    <t xml:space="preserve">     2. Reduced lunch</t>
  </si>
  <si>
    <t xml:space="preserve">      Employee benefits</t>
  </si>
  <si>
    <t xml:space="preserve">     1. Reduced breakfast</t>
  </si>
  <si>
    <t xml:space="preserve">      Classified salaries</t>
  </si>
  <si>
    <t>Adult</t>
  </si>
  <si>
    <t>7-8</t>
  </si>
  <si>
    <t>K-6</t>
  </si>
  <si>
    <t>C.  Meal prices</t>
  </si>
  <si>
    <t>G.  Detail of food service management company expenses</t>
  </si>
  <si>
    <t>* Divide all revenues from a la carte sales by the free lunch reimbursement rate received.</t>
  </si>
  <si>
    <t xml:space="preserve">    c. Other</t>
  </si>
  <si>
    <t xml:space="preserve">    b. Program adults/adult workers</t>
  </si>
  <si>
    <t>F.  Cash balances</t>
  </si>
  <si>
    <t xml:space="preserve">    a. Reimbursable meals only</t>
  </si>
  <si>
    <t>2. Served at other locations</t>
  </si>
  <si>
    <t>Total expenses (lines 7-20)</t>
  </si>
  <si>
    <t>0196 Equipment</t>
  </si>
  <si>
    <t>0190 Capital assets (excluding 0196)</t>
  </si>
  <si>
    <t>1. Served at charter school locations</t>
  </si>
  <si>
    <t>6800 Other expenses (excluding food service mgt. fees)</t>
  </si>
  <si>
    <t>B.  Number of meals served</t>
  </si>
  <si>
    <t>6633 Other food</t>
  </si>
  <si>
    <t>Snacks</t>
  </si>
  <si>
    <t>A la carte*</t>
  </si>
  <si>
    <t>Lunches/suppers</t>
  </si>
  <si>
    <t>Breakfasts</t>
  </si>
  <si>
    <t>6632 USDA commodities (freight only)</t>
  </si>
  <si>
    <t>6631 USDA commodities (excluding freight)</t>
  </si>
  <si>
    <t>A.  Number of operating months</t>
  </si>
  <si>
    <t>6620 Energy</t>
  </si>
  <si>
    <t>6610 General supplies (nonfood items)</t>
  </si>
  <si>
    <t>Total revenue (lines 1-5)</t>
  </si>
  <si>
    <t>6591 Services purchased from other AZ schools or districts</t>
  </si>
  <si>
    <t>4900 Revenue for/on behalf of the school (1)</t>
  </si>
  <si>
    <t xml:space="preserve">6570 Food service management </t>
  </si>
  <si>
    <t xml:space="preserve">          from the federal government through the State</t>
  </si>
  <si>
    <t>6530 Communications</t>
  </si>
  <si>
    <t>4500 Restricted revenue (reimbursement) received</t>
  </si>
  <si>
    <t>6400 Purchased property services</t>
  </si>
  <si>
    <t>1900 Other revenues and gains from local sources</t>
  </si>
  <si>
    <t xml:space="preserve">6200 Personal services—employee benefits </t>
  </si>
  <si>
    <t>1600 Food service</t>
  </si>
  <si>
    <t xml:space="preserve">6100 Personal services—salaries </t>
  </si>
  <si>
    <t>Food Service</t>
  </si>
  <si>
    <t>Report the breakdown of expenses related to the use of a food service management company. The total reported in this table must agree with the amount on line 11.</t>
  </si>
  <si>
    <t>Report the number of half-pint units served to children.</t>
  </si>
  <si>
    <t>Report the charge to children and adults as indicated. Please enter zeros if no charge applies.</t>
  </si>
  <si>
    <t>Report snack meals served after the school day has ended, typically for the purposes of an approved After School Care Snack Program, in this column.</t>
  </si>
  <si>
    <t>Report any food items sold that are not appropriate to include in the breakfast, lunch/supper, or snack column in the a la carte column. Report these as equivalent meal counts by totaling the dollar amount of such sales, and dividing by the free lunch reimbursement rate.</t>
  </si>
  <si>
    <t xml:space="preserve">A la carte </t>
  </si>
  <si>
    <t>Report lunch meals served during an established lunch period, typically for the purposes of an approved USDA National School Lunch Program, in this column. Report supper meals served in the evening for the purposes of an approved USDA Summer Food Service Program, if applicable, in this column.</t>
  </si>
  <si>
    <t>Report breakfast meals served during an established breakfast period, typically for the purposes of an approved USDA School Breakfast Program, in this column.</t>
  </si>
  <si>
    <t>Report the number of all other meals served that were not eligible to be included on lines a or b, including non-program adults.</t>
  </si>
  <si>
    <t>Report the number of meals served to program adults and adult food service workers.</t>
  </si>
  <si>
    <t>Program adults/adult workers</t>
  </si>
  <si>
    <t>Report the number of reimbursable meals served.</t>
  </si>
  <si>
    <t>Reimbursable meals only</t>
  </si>
  <si>
    <t>Meals served at the charter school should include all meals served on the school's premises. Meals served at other locations should include meals served at nearby district schools, private schools, or other charter schools.</t>
  </si>
  <si>
    <t>Report the number of months the Charter's food service program was in session.</t>
  </si>
  <si>
    <t>Report the cost of furniture/equipment or vehicles/transportation equipment purchased for the benefit of the food service program. The items must also have a unit cost of at least $50 and have a useful life of 1 year or more. Items reported here include, but are not limited to, chairs, tables, mixers, and vehicles and equipment used to transport food.</t>
  </si>
  <si>
    <t>0196—Equipment</t>
  </si>
  <si>
    <t>0190—Capital assets (excluding 0196)</t>
  </si>
  <si>
    <t>6800—Other expenses (excluding food service management fees)</t>
  </si>
  <si>
    <t>6633—Other food</t>
  </si>
  <si>
    <t>6632—USDA commodities (freight only)</t>
  </si>
  <si>
    <t>https://www.azed.gov/sites/default/files/2022/09/How%20to%20Complete%20USDA%20Foods%20AFR%20Calculations.pdf</t>
  </si>
  <si>
    <t>6631—USDA commodities (excluding freight)</t>
  </si>
  <si>
    <t>6620—Energy</t>
  </si>
  <si>
    <t>6610—General supplies (nonfood items)</t>
  </si>
  <si>
    <t>Report payments to another school or district within the State for services rendered related to the food service program.</t>
  </si>
  <si>
    <t>6591—Services purchased from other Arizona schools or districts</t>
  </si>
  <si>
    <t>6570—Food service management</t>
  </si>
  <si>
    <t>6530—Communications</t>
  </si>
  <si>
    <t xml:space="preserve">Report the cost of services purchased to rent property or equipment, or to operate, repair, and maintain property owned, rented, or used by the Charter. </t>
  </si>
  <si>
    <t xml:space="preserve">6400—Purchased property services </t>
  </si>
  <si>
    <t>Report the portion of employee benefit expenses for personnel whose salaries have been reported on line 7.</t>
  </si>
  <si>
    <t>6200—Personal services—employee benefits</t>
  </si>
  <si>
    <t>6100—Personal services—salaries</t>
  </si>
  <si>
    <t>4900—Revenue for/on behalf of the school</t>
  </si>
  <si>
    <t>4500—Restricted revenue (reimbursement) received from the federal government through the State</t>
  </si>
  <si>
    <t xml:space="preserve">Report other revenue from local sources not classified elsewhere, including rentals and contributions. </t>
  </si>
  <si>
    <t>1900—Other revenues and gains from local sources</t>
  </si>
  <si>
    <t>1600—Food service</t>
  </si>
  <si>
    <t>Report the amount of interest earned on Food Service cash, investments, and receivables, if applicable.</t>
  </si>
  <si>
    <t>1500—Earnings on investments</t>
  </si>
  <si>
    <t>Adjusted beginning project balance</t>
  </si>
  <si>
    <t>Section F—Number of 
full-time equivalent teachers</t>
  </si>
  <si>
    <t>Adjusted beginning balance</t>
  </si>
  <si>
    <r>
      <t xml:space="preserve">Report the revenue for dispensing food to students and adults, including School Lunch, Regular and Severe Need Breakfast, Special Milk, Reimbursable After School Care Snack, Summer Food, and Child Care Food Programs. This line should include </t>
    </r>
    <r>
      <rPr>
        <b/>
        <sz val="10"/>
        <rFont val="Times New Roman"/>
        <family val="1"/>
      </rPr>
      <t>any</t>
    </r>
    <r>
      <rPr>
        <sz val="10"/>
        <rFont val="Times New Roman"/>
        <family val="1"/>
      </rPr>
      <t xml:space="preserve"> revenue received for the Food Service Program that cannot be attributed to </t>
    </r>
    <r>
      <rPr>
        <b/>
        <sz val="10"/>
        <rFont val="Times New Roman"/>
        <family val="1"/>
      </rPr>
      <t xml:space="preserve">any </t>
    </r>
    <r>
      <rPr>
        <sz val="10"/>
        <rFont val="Times New Roman"/>
        <family val="1"/>
      </rPr>
      <t xml:space="preserve">other revenue line. </t>
    </r>
    <r>
      <rPr>
        <b/>
        <sz val="10"/>
        <rFont val="Times New Roman"/>
        <family val="1"/>
      </rPr>
      <t>Do not include federal reimbursements here, include them on line 4.</t>
    </r>
  </si>
  <si>
    <r>
      <t>Report the value of United States Department of Agriculture (USDA) commodities the Charter received on this line, using the value as set by ADE based on the</t>
    </r>
    <r>
      <rPr>
        <i/>
        <sz val="10"/>
        <rFont val="Times New Roman"/>
        <family val="1"/>
      </rPr>
      <t xml:space="preserve"> November 15th USDA Commodity Pricing Report</t>
    </r>
    <r>
      <rPr>
        <sz val="10"/>
        <rFont val="Times New Roman"/>
        <family val="1"/>
      </rPr>
      <t xml:space="preserve">, </t>
    </r>
    <r>
      <rPr>
        <b/>
        <sz val="10"/>
        <rFont val="Times New Roman"/>
        <family val="1"/>
      </rPr>
      <t>excluding freight</t>
    </r>
    <r>
      <rPr>
        <sz val="10"/>
        <rFont val="Times New Roman"/>
        <family val="1"/>
      </rPr>
      <t xml:space="preserve">. Cash in Lieu of Commodities must also be reported by charter schools receiving cash funds from the USDA Food Distribution </t>
    </r>
    <r>
      <rPr>
        <b/>
        <sz val="10"/>
        <rFont val="Times New Roman"/>
        <family val="1"/>
      </rPr>
      <t>instead</t>
    </r>
    <r>
      <rPr>
        <sz val="10"/>
        <rFont val="Times New Roman"/>
        <family val="2"/>
      </rPr>
      <t xml:space="preserve"> </t>
    </r>
    <r>
      <rPr>
        <sz val="10"/>
        <rFont val="Times New Roman"/>
        <family val="1"/>
      </rPr>
      <t>of commodities.</t>
    </r>
  </si>
  <si>
    <r>
      <rPr>
        <sz val="10"/>
        <rFont val="Times New Roman"/>
        <family val="1"/>
      </rPr>
      <t>Report the salaries for all personnel whose job function is attributed to food service.</t>
    </r>
    <r>
      <rPr>
        <b/>
        <sz val="10"/>
        <rFont val="Times New Roman"/>
        <family val="1"/>
      </rPr>
      <t xml:space="preserve"> For employees performing more than one job function, report only the portion related to food service tasks.</t>
    </r>
  </si>
  <si>
    <r>
      <t xml:space="preserve">Report costs for services provided to assist in transmitting and receiving messages or information related to the food service program </t>
    </r>
    <r>
      <rPr>
        <b/>
        <sz val="10"/>
        <rFont val="Times New Roman"/>
        <family val="1"/>
      </rPr>
      <t>only</t>
    </r>
    <r>
      <rPr>
        <sz val="10"/>
        <rFont val="Times New Roman"/>
        <family val="1"/>
      </rPr>
      <t xml:space="preserve">. This category includes telephone, facsimile services, and postage. </t>
    </r>
    <r>
      <rPr>
        <b/>
        <sz val="10"/>
        <rFont val="Times New Roman"/>
        <family val="1"/>
      </rPr>
      <t>Do not</t>
    </r>
    <r>
      <rPr>
        <sz val="10"/>
        <rFont val="Times New Roman"/>
        <family val="1"/>
      </rPr>
      <t xml:space="preserve"> claim telephone or facsimile expenses unless there are separate phone lines for the food service area. </t>
    </r>
  </si>
  <si>
    <r>
      <t xml:space="preserve">If the Charter contracted with a Food Service Management Company (FSMC), report the total amount charged by the FSMC on this line and </t>
    </r>
    <r>
      <rPr>
        <b/>
        <sz val="10"/>
        <rFont val="Times New Roman"/>
        <family val="1"/>
      </rPr>
      <t>complete the table in section G.</t>
    </r>
  </si>
  <si>
    <r>
      <t xml:space="preserve">Report the cost of purchasing </t>
    </r>
    <r>
      <rPr>
        <b/>
        <sz val="10"/>
        <rFont val="Times New Roman"/>
        <family val="1"/>
      </rPr>
      <t>all</t>
    </r>
    <r>
      <rPr>
        <sz val="10"/>
        <rFont val="Times New Roman"/>
        <family val="1"/>
      </rPr>
      <t xml:space="preserve"> supplies for the operation of the food service program, including freight and tax. </t>
    </r>
    <r>
      <rPr>
        <b/>
        <sz val="10"/>
        <rFont val="Times New Roman"/>
        <family val="1"/>
      </rPr>
      <t>Do not</t>
    </r>
    <r>
      <rPr>
        <sz val="10"/>
        <rFont val="Times New Roman"/>
        <family val="1"/>
      </rPr>
      <t xml:space="preserve"> report any food purchases on this line. </t>
    </r>
  </si>
  <si>
    <r>
      <t xml:space="preserve">Report the cost for utilities (electric, gas, etc.) on this line if there are separate utility meters for the food service area. If one meter serves the cafeteria and classrooms for instance, the utilities expense will be computed as an indirect cost. A 10 percent indirect cost rate will be used for non-district-sponsored charter schools. </t>
    </r>
    <r>
      <rPr>
        <b/>
        <sz val="10"/>
        <rFont val="Times New Roman"/>
        <family val="1"/>
      </rPr>
      <t>Do not report prorated utility bills.</t>
    </r>
  </si>
  <si>
    <r>
      <t xml:space="preserve">Report the value of donated USDA commodities, using the value as set by ADE based on the </t>
    </r>
    <r>
      <rPr>
        <i/>
        <sz val="10"/>
        <rFont val="Times New Roman"/>
        <family val="1"/>
      </rPr>
      <t>November 15th USDA Commodity Pricing Report</t>
    </r>
    <r>
      <rPr>
        <sz val="10"/>
        <rFont val="Times New Roman"/>
        <family val="1"/>
      </rPr>
      <t xml:space="preserve">, excluding freight charges. </t>
    </r>
    <r>
      <rPr>
        <b/>
        <sz val="10"/>
        <rFont val="Times New Roman"/>
        <family val="1"/>
      </rPr>
      <t>Do not include storage and processing charges in this amount</t>
    </r>
    <r>
      <rPr>
        <sz val="10"/>
        <rFont val="Times New Roman"/>
        <family val="1"/>
      </rPr>
      <t>. This amount should equal the value of USDA commodities included on revenue line 5</t>
    </r>
    <r>
      <rPr>
        <b/>
        <sz val="10"/>
        <rFont val="Times New Roman"/>
        <family val="1"/>
      </rPr>
      <t xml:space="preserve">. 
HNS has provided additional guidance on where to obtain the expense amounts to be reported for USDA Commodities at the link below:
</t>
    </r>
  </si>
  <si>
    <r>
      <t>Report the cost of freight for USDA commodities only. Storage charges for USDA commodities are reported on line 18</t>
    </r>
    <r>
      <rPr>
        <sz val="10"/>
        <rFont val="Times New Roman"/>
        <family val="2"/>
      </rPr>
      <t>.</t>
    </r>
  </si>
  <si>
    <r>
      <t xml:space="preserve">Report </t>
    </r>
    <r>
      <rPr>
        <b/>
        <sz val="10"/>
        <rFont val="Times New Roman"/>
        <family val="1"/>
      </rPr>
      <t>all</t>
    </r>
    <r>
      <rPr>
        <sz val="10"/>
        <rFont val="Times New Roman"/>
        <family val="1"/>
      </rPr>
      <t xml:space="preserve"> food purchases on this line </t>
    </r>
    <r>
      <rPr>
        <b/>
        <sz val="10"/>
        <rFont val="Times New Roman"/>
        <family val="1"/>
      </rPr>
      <t>except</t>
    </r>
    <r>
      <rPr>
        <sz val="10"/>
        <rFont val="Times New Roman"/>
        <family val="1"/>
      </rPr>
      <t xml:space="preserve"> USDA commodities. Also report USDA commodities processing charges and the purchase of food with minimal nutritional value on this line.</t>
    </r>
  </si>
  <si>
    <r>
      <t xml:space="preserve">Report all </t>
    </r>
    <r>
      <rPr>
        <b/>
        <sz val="10"/>
        <rFont val="Times New Roman"/>
        <family val="1"/>
      </rPr>
      <t>other</t>
    </r>
    <r>
      <rPr>
        <sz val="10"/>
        <rFont val="Times New Roman"/>
        <family val="1"/>
      </rPr>
      <t xml:space="preserve"> expenses related to the food service program not recorded elsewhere, such as interest on revolving lines of credit, capital leases, etc., on this line. Also, report USDA commodities storage charges on this line. </t>
    </r>
  </si>
  <si>
    <r>
      <t xml:space="preserve">Report the purchase of capital items for the food service area </t>
    </r>
    <r>
      <rPr>
        <b/>
        <sz val="10"/>
        <rFont val="Times New Roman"/>
        <family val="1"/>
      </rPr>
      <t>other</t>
    </r>
    <r>
      <rPr>
        <sz val="10"/>
        <rFont val="Times New Roman"/>
        <family val="1"/>
      </rPr>
      <t xml:space="preserve"> than furniture/equipment and vehicles/transportation equipment. The items purchased under this object code must have a unit cost of at least $5,000 and/or have a life expectancy of 1 year or more. Included on this line would be expenses of at least $5,000 for making improvements to the interior of an existing building. </t>
    </r>
    <r>
      <rPr>
        <b/>
        <sz val="10"/>
        <rFont val="Times New Roman"/>
        <family val="1"/>
      </rPr>
      <t>Food Service monies may not be used to buy land or buildings or erect buildings.</t>
    </r>
  </si>
  <si>
    <r>
      <t xml:space="preserve">Report the amount of State Equalization Assistance spent for food service. This amount will be used to determine charter compliance with the State Matching Requirement pursuant to Code of Federal Regulations Title 7, </t>
    </r>
    <r>
      <rPr>
        <sz val="10"/>
        <rFont val="Calibri"/>
        <family val="2"/>
      </rPr>
      <t>§</t>
    </r>
    <r>
      <rPr>
        <sz val="10"/>
        <rFont val="Times New Roman"/>
        <family val="1"/>
      </rPr>
      <t>210.17(a).</t>
    </r>
  </si>
  <si>
    <t>Complete the Cover, School listing, and Accounting data tabs first. See instructions.</t>
  </si>
  <si>
    <t>G. Detail of food service management company expenses</t>
  </si>
  <si>
    <t>F. Cash balances</t>
  </si>
  <si>
    <t>E. State Equalization Assistance expended for food service, function 3100</t>
  </si>
  <si>
    <t>D. Special milk program</t>
  </si>
  <si>
    <t>C. Meal prices</t>
  </si>
  <si>
    <t>A. Number of operating months</t>
  </si>
  <si>
    <t>B. Number of meals served</t>
  </si>
  <si>
    <t xml:space="preserve">    1910 Rentals</t>
  </si>
  <si>
    <t xml:space="preserve">    1950 Miscellaneous Revenues from Other Schools or Districts</t>
  </si>
  <si>
    <t xml:space="preserve">    1960 Miscellaneous Revenues from Local Governmental Units</t>
  </si>
  <si>
    <t>1910-Rentals</t>
  </si>
  <si>
    <t>1950-Miscellaneous Revenues from Other Schools or Districts</t>
  </si>
  <si>
    <t>1960-Miscellaneous Revenues from Local Governmental Units</t>
  </si>
  <si>
    <t>Charter website link of posted AFR</t>
  </si>
  <si>
    <t>Charter website link</t>
  </si>
  <si>
    <t xml:space="preserve">Charters must assign expenses for Project 1071—English Language Learner and Project 1072—Compensatory Instruction to the following program codes, as applicable, to automatically populate on page 5:
•260—English Language Learners incremental costs
•430—Pupil transportation-ELL incremental costs
•265—English Language Learners compensatory instruction
•435—Pupil transportation-ELL compensatory instruction
Other Federal Projects 1310-1399 must be identified as COVID-19 and non-COVID-19 related projects. 
Expenses for function 2700—student transportation must be coded to program codes, as applicable, to automatically populate on page 2, line 29:
•400—Pupil transportation
•430—Pupil transportation-ELL incremental costs
•435—Pupil transportation-ELL compensatory instruction 
Data with improper codes will highlight yellow. The form should not have any yellow highlighted cells when submitted. </t>
  </si>
  <si>
    <t xml:space="preserve">   1.  Function 2220-Improvement of instruction (in objects 6300-6490, 6530-6550, 6580, 6600-6620, 6640-6650, 0196 disbursements, 6740, 6810, and 6890)</t>
  </si>
  <si>
    <t xml:space="preserve">   2.  Function 2230-Library/media Services (in objects 6300-6490, 6530-6550, 6580, 6600-6620, 6640-6650, 0196 disbursements, 6740, 6810, and 6890)</t>
  </si>
  <si>
    <r>
      <t xml:space="preserve">If the AFR is not submitted by October 15, reimbursements for child nutrition will be withheld until an accurate and </t>
    </r>
    <r>
      <rPr>
        <b/>
        <sz val="10"/>
        <rFont val="Times New Roman"/>
        <family val="1"/>
      </rPr>
      <t>complete</t>
    </r>
    <r>
      <rPr>
        <sz val="10"/>
        <rFont val="Times New Roman"/>
        <family val="1"/>
      </rPr>
      <t xml:space="preserve"> AFR is submitted. 
Report only those revenues and expenditures that are attributable to the operation of the Food Service Program. Documentation must be available for all information on this report. If you have any questions about the Food Service Program only, please contact Health &amp; Nutrition Services (HNS) at (602) 542-8700. </t>
    </r>
    <r>
      <rPr>
        <b/>
        <sz val="10"/>
        <rFont val="Times New Roman"/>
        <family val="1"/>
      </rPr>
      <t>Note: Charters that do not participate in the National School Lunch Program do not need to complete this tab.</t>
    </r>
  </si>
  <si>
    <t>1900, 1930, 1980, 1990-Other revenues and gains from local sources</t>
  </si>
  <si>
    <t xml:space="preserve">    1900, 1930, 1980, 1990 Other revenues and gains from local sources</t>
  </si>
  <si>
    <t>Support services-instruction detail (Programs 100-630, excluding 400)</t>
  </si>
  <si>
    <t xml:space="preserve">   1.  Object 6640, functions 1000 and 2230</t>
  </si>
  <si>
    <t>Charters that maintain a website must provide a link on their website to ADE’s website where the Charter’s AFR can be viewed. See the Submission and Publication document for detailed steps to obtain the link from ADE's website. Charters should paste a clickable link on the Cover tab to their school web page where the AFR link was posted.</t>
  </si>
  <si>
    <t>ADE no longer requires schools to send an email to School Finance with a clickable link to its website, if the link is provided in this space.</t>
  </si>
  <si>
    <t>FY 2025</t>
  </si>
  <si>
    <t>We, the Governing Board of the Charter School, hereby certify the Annual Financial Report and School Level Reporting form per A.R.S. §§15-183(E)(6) and 15-904 for Fiscal Year 2025.</t>
  </si>
  <si>
    <t xml:space="preserve">The annual financial report file(s) for FY 2025 uploaded to the Arizona Department of </t>
  </si>
  <si>
    <t xml:space="preserve">    1600  Food service (from Food Service tab, line 2)</t>
  </si>
  <si>
    <t xml:space="preserve">      Total Local Revenue (lines 1-16)</t>
  </si>
  <si>
    <t xml:space="preserve">      Total Intermediate Revenue (lines 18-20)</t>
  </si>
  <si>
    <t xml:space="preserve">      Total State Revenue (lines 22-26)</t>
  </si>
  <si>
    <t xml:space="preserve">      Total Federal Revenue (lines 28-33)</t>
  </si>
  <si>
    <t>Total revenue from all sources (lines 17, 21, 27, and 34)</t>
  </si>
  <si>
    <r>
      <t>Total revenues (lines 1</t>
    </r>
    <r>
      <rPr>
        <sz val="10"/>
        <rFont val="Times New Roman"/>
        <family val="1"/>
      </rPr>
      <t>2</t>
    </r>
    <r>
      <rPr>
        <sz val="10"/>
        <rFont val="Times New Roman"/>
        <family val="2"/>
      </rPr>
      <t xml:space="preserve"> and 1</t>
    </r>
    <r>
      <rPr>
        <sz val="10"/>
        <rFont val="Times New Roman"/>
        <family val="1"/>
      </rPr>
      <t>3</t>
    </r>
    <r>
      <rPr>
        <sz val="10"/>
        <rFont val="Times New Roman"/>
        <family val="2"/>
      </rPr>
      <t>)</t>
    </r>
  </si>
  <si>
    <r>
      <t xml:space="preserve">Total available (lines 10 </t>
    </r>
    <r>
      <rPr>
        <sz val="10"/>
        <rFont val="Times New Roman"/>
        <family val="1"/>
      </rPr>
      <t>or 11,</t>
    </r>
    <r>
      <rPr>
        <sz val="10"/>
        <rFont val="Times New Roman"/>
        <family val="2"/>
      </rPr>
      <t xml:space="preserve"> and 1</t>
    </r>
    <r>
      <rPr>
        <sz val="10"/>
        <rFont val="Times New Roman"/>
        <family val="1"/>
      </rPr>
      <t>4</t>
    </r>
    <r>
      <rPr>
        <sz val="10"/>
        <rFont val="Times New Roman"/>
        <family val="2"/>
      </rPr>
      <t>)</t>
    </r>
  </si>
  <si>
    <r>
      <t>Expenses (</t>
    </r>
    <r>
      <rPr>
        <sz val="10"/>
        <rFont val="Cambria"/>
        <family val="1"/>
      </rPr>
      <t>from lines 6, 7, 8, and 9</t>
    </r>
    <r>
      <rPr>
        <sz val="10"/>
        <rFont val="Times New Roman"/>
        <family val="2"/>
      </rPr>
      <t>)</t>
    </r>
  </si>
  <si>
    <r>
      <t>Ending project balance (line 1</t>
    </r>
    <r>
      <rPr>
        <sz val="10"/>
        <rFont val="Times New Roman"/>
        <family val="1"/>
      </rPr>
      <t>5</t>
    </r>
    <r>
      <rPr>
        <sz val="10"/>
        <rFont val="Times New Roman"/>
        <family val="2"/>
      </rPr>
      <t xml:space="preserve"> minus line 1</t>
    </r>
    <r>
      <rPr>
        <sz val="10"/>
        <rFont val="Times New Roman"/>
        <family val="1"/>
      </rPr>
      <t>6</t>
    </r>
    <r>
      <rPr>
        <sz val="10"/>
        <rFont val="Times New Roman"/>
        <family val="2"/>
      </rPr>
      <t xml:space="preserve">) </t>
    </r>
  </si>
  <si>
    <t>Total available (lines 6 or 7, and 8)</t>
  </si>
  <si>
    <t>Ending project balance  (line 9 minus line 10)</t>
  </si>
  <si>
    <t>July 1, 2024</t>
  </si>
  <si>
    <t>June 30, 2025</t>
  </si>
  <si>
    <t>Check box if the Charter was new and began operations in FY 2025.</t>
  </si>
  <si>
    <t>Average salary of all teachers employed in FY 2025</t>
  </si>
  <si>
    <t>Average salary of all teachers employed in FY 2024</t>
  </si>
  <si>
    <t>Increase in average teacher salary from FY 2024</t>
  </si>
  <si>
    <t xml:space="preserve">     1. Long-term debt outstanding, July 1, 2024</t>
  </si>
  <si>
    <t xml:space="preserve">     2. Long-term debt issued during FY 2025</t>
  </si>
  <si>
    <t xml:space="preserve">     3. Long-term debt retired during FY 2025</t>
  </si>
  <si>
    <t xml:space="preserve">     4. Long-term debt outstanding, June 30, 2025</t>
  </si>
  <si>
    <t xml:space="preserve">     5. Short-term debt outstanding, July 1, 2024</t>
  </si>
  <si>
    <t xml:space="preserve">     6. Short-term debt outstanding, June 30, 2025</t>
  </si>
  <si>
    <t>Investment in capital assets as of June 30, 2025</t>
  </si>
  <si>
    <t>Cash and investments held at June 30, 2025</t>
  </si>
  <si>
    <t>FY 2020 through 
FY 2024
Expenses and other financing uses</t>
  </si>
  <si>
    <t>FY 2025
Expenses and other financing uses</t>
  </si>
  <si>
    <t>7/1/2024</t>
  </si>
  <si>
    <t>6/30/2025</t>
  </si>
  <si>
    <t>2024</t>
  </si>
  <si>
    <t>2025</t>
  </si>
  <si>
    <t>The total reserve balance for FY 2025 is:</t>
  </si>
  <si>
    <t>FY 2024 ending project balance</t>
  </si>
  <si>
    <t>FY 2025 ending project balance</t>
  </si>
  <si>
    <t>Planned to be spent in FY 2026 to support budgeted spending</t>
  </si>
  <si>
    <r>
      <t xml:space="preserve">Maintained for debt retirement </t>
    </r>
    <r>
      <rPr>
        <u/>
        <sz val="10"/>
        <rFont val="Times New Roman"/>
        <family val="1"/>
      </rPr>
      <t>after</t>
    </r>
    <r>
      <rPr>
        <sz val="10"/>
        <rFont val="Times New Roman"/>
        <family val="1"/>
      </rPr>
      <t xml:space="preserve"> FY 2026</t>
    </r>
  </si>
  <si>
    <r>
      <t xml:space="preserve">Maintained for capital projects </t>
    </r>
    <r>
      <rPr>
        <u/>
        <sz val="10"/>
        <rFont val="Times New Roman"/>
        <family val="1"/>
      </rPr>
      <t>after</t>
    </r>
    <r>
      <rPr>
        <sz val="10"/>
        <rFont val="Times New Roman"/>
        <family val="1"/>
      </rPr>
      <t xml:space="preserve"> FY 2026</t>
    </r>
  </si>
  <si>
    <r>
      <t xml:space="preserve">Maintained for retirement contributions </t>
    </r>
    <r>
      <rPr>
        <u/>
        <sz val="10"/>
        <rFont val="Times New Roman"/>
        <family val="1"/>
      </rPr>
      <t>after</t>
    </r>
    <r>
      <rPr>
        <sz val="10"/>
        <rFont val="Times New Roman"/>
        <family val="1"/>
      </rPr>
      <t xml:space="preserve"> FY 2026</t>
    </r>
  </si>
  <si>
    <t>FY 2025 ending project balance details:</t>
  </si>
  <si>
    <t>If question 1 was answered yes, complete the table below to describe the Charter's specific FY 2025 targeted and actual project balance reserve amounts and methods used to establish those targeted balance reserve amounts.</t>
  </si>
  <si>
    <t xml:space="preserve">Targeted FY 2025 project balance reserve amount </t>
  </si>
  <si>
    <t xml:space="preserve">Actual FY 2025 project balance reserve amount </t>
  </si>
  <si>
    <t>The Charter plans to take the following actions related to its ending project balance in FY 2026 and thereafter:</t>
  </si>
  <si>
    <r>
      <t xml:space="preserve">All actual revenues, expenses, and account balances presented on the AFR must agree with the Charter's accounting records as of June 30, 2025. Revenue and expense account codes used in the AFR agree with the </t>
    </r>
    <r>
      <rPr>
        <i/>
        <sz val="10"/>
        <rFont val="Times New Roman"/>
        <family val="1"/>
      </rPr>
      <t>Uniform System of Financial Records for Arizona Charter Schools</t>
    </r>
    <r>
      <rPr>
        <sz val="10"/>
        <rFont val="Times New Roman"/>
        <family val="1"/>
      </rPr>
      <t xml:space="preserve"> (USFRCS) Chart of Accounts. Charters that are exempted from all or part of the USFRCS in accordance with A.R.S. §15-183(E)(6) must use an accounting system that allows them to report financial data in the AFR standard expense types and functional uses. See the USFRCS Chart of Accounts for more information on project, function, and object codes and descriptions at https://www.azauditor.gov/reports-publications/charter-schools/manuals-memorandums.  Charters should ensure their budget amounts agree to their most recently revised or adopted FY 2025 budget that was submitted to ADE.           
Revenues must include cash receipts through June 30, 2025, and accrued revenues received after the end of the fiscal year. Examples of accrued revenues are cost reimbursement and entitlement programs, interest earned on investments, and FY 2025 Classroom Site Project revenues.         
Expenses consist of all expenses incurred during the fiscal year, including expenses for goods and services received on or before June 30, 2025, but not paid for by that date. Examples of items requiring such treatment are included in the USFRCS, pages VI-G-8 and 9.</t>
    </r>
  </si>
  <si>
    <t xml:space="preserve">Enter school-level information for each school within the Charter including school names, school CTDS numbers, and unweighted attending student counts. As school names are added to the tab, the primary unit code cell for that school will shade red until a primary unit code is entered, as described below. The CTDS numbers in column C should not contain any slashes, dashes, etc., and must be exactly 9 digits. Use 100th-day (or 200th-day) student counts to report each school's unweighted attending student count in column D. Charters can refer to BSA-21 Report.
Enter the applicable unit code(s) in column E used to code expenses at the school level for each school, as well as the unit code(s) used to code expenses to the Charter and private schools. If more than one unit code was used for a school, separate each unit code with a comma. For example (100, 101, 102). 
Charters must assign a 3-digit primary unit code in column F for each school as this data will be used in the School-Level AFR. Formulas within the School-Level AFR are set to assign only one unit code to each school, charterwide, and private schools, if applicable. The comments column can be used for additional information to describe the unit codes and primary unit codes. </t>
  </si>
  <si>
    <t>Report all revenues the Charter received from dispensing food to students and adults. If the Charter participates in the National School Lunch Program and completed the Food Service AFR as required, this amount will populate from revenues, line 2 on the Food Service tab. If the Charter did not collect any revenue from students or adults for food service, enter a 0 value on the line.</t>
  </si>
  <si>
    <t>3200  Restricted,
line 24</t>
  </si>
  <si>
    <t>4100, 4300  Unrestricted/restricted received directly from the federal government, 
line 28</t>
  </si>
  <si>
    <t>Do not include federal impact aid revenues received on this line. These revenues should be reported on line 31 as 4800 federal impact aid.</t>
  </si>
  <si>
    <t>4200, 4500  Unrestricted/restricted received from the federal government through the State, line 29</t>
  </si>
  <si>
    <t>If an ending project balance is reported incorrectly on the FY 2024 AFR, charters should enter the correct amount in the adjusted beginning project balance row, line 11. Only enter amount on this line if the charter needs to adjust beginning project balance for any errors or audit adjustments identified in the charter's FY 2024 audit.</t>
  </si>
  <si>
    <t>If an ending project balance is reported incorrectly on the FY 2024 AFR, charters should enter the correct amount in the adjusted beginning project balance row, line 7. Only enter amount on this line if the charter needs to adjust beginning project balance for any errors or audit adjustments identified in the charter's FY 2024 audit.</t>
  </si>
  <si>
    <t>If an ending project balance is reported incorrectly on the FY 2024 AFR, charters should enter the correct amount in the adjusted beginning project balance column, lines 14 and 28. Lines that report amounts for multiple projects should enter a single amount for the calculated beginning project balance for all projects reported on that line. Only enter amount on these line if the charter needs to adjust beginning project balance for any errors or audit adjustments identified in the charter's FY 2024 audit.</t>
  </si>
  <si>
    <r>
      <t>Record amounts expended in FY 202</t>
    </r>
    <r>
      <rPr>
        <sz val="10"/>
        <rFont val="Times New Roman"/>
        <family val="1"/>
      </rPr>
      <t>5</t>
    </r>
    <r>
      <rPr>
        <sz val="10"/>
        <rFont val="Times New Roman"/>
        <family val="2"/>
      </rPr>
      <t xml:space="preserve"> for audit services. 
Nonfederal audit expense incurred in FY 202</t>
    </r>
    <r>
      <rPr>
        <sz val="10"/>
        <rFont val="Times New Roman"/>
        <family val="1"/>
      </rPr>
      <t>5</t>
    </r>
    <r>
      <rPr>
        <sz val="10"/>
        <rFont val="Times New Roman"/>
        <family val="2"/>
      </rPr>
      <t xml:space="preserve"> may be included on the budget for FY 202</t>
    </r>
    <r>
      <rPr>
        <sz val="10"/>
        <rFont val="Times New Roman"/>
        <family val="1"/>
      </rPr>
      <t>7</t>
    </r>
    <r>
      <rPr>
        <sz val="10"/>
        <rFont val="Times New Roman"/>
        <family val="2"/>
      </rPr>
      <t xml:space="preserve"> for reimbursement pursuant to A.R.S. </t>
    </r>
    <r>
      <rPr>
        <sz val="10"/>
        <rFont val="Calibri"/>
        <family val="2"/>
      </rPr>
      <t>§</t>
    </r>
    <r>
      <rPr>
        <sz val="10"/>
        <rFont val="Times New Roman"/>
        <family val="2"/>
      </rPr>
      <t>15-914.  In order to receive reimbursement in FY 202</t>
    </r>
    <r>
      <rPr>
        <sz val="10"/>
        <rFont val="Times New Roman"/>
        <family val="1"/>
      </rPr>
      <t>7</t>
    </r>
    <r>
      <rPr>
        <sz val="10"/>
        <rFont val="Times New Roman"/>
        <family val="2"/>
      </rPr>
      <t>, nonfederal audit expenses must be included in the FY 202</t>
    </r>
    <r>
      <rPr>
        <sz val="10"/>
        <rFont val="Times New Roman"/>
        <family val="1"/>
      </rPr>
      <t>5</t>
    </r>
    <r>
      <rPr>
        <sz val="10"/>
        <rFont val="Times New Roman"/>
        <family val="2"/>
      </rPr>
      <t xml:space="preserve"> AFR.  Amounts reported must be amounts actually spent in FY 202</t>
    </r>
    <r>
      <rPr>
        <sz val="10"/>
        <rFont val="Times New Roman"/>
        <family val="1"/>
      </rPr>
      <t>5</t>
    </r>
    <r>
      <rPr>
        <sz val="10"/>
        <rFont val="Times New Roman"/>
        <family val="2"/>
      </rPr>
      <t xml:space="preserve">.  </t>
    </r>
    <r>
      <rPr>
        <b/>
        <sz val="10"/>
        <rFont val="Times New Roman"/>
        <family val="1"/>
      </rPr>
      <t>Do not include the costs of consulting or other services paid to audit firms in the nonfederal or federal audit services actual expenses.</t>
    </r>
  </si>
  <si>
    <t>The total of budget and actual federal and State project expenses (project codes 1100 through 1499 on page 9) should be included on line 38.  The total of budgeted and actual expenses on line 38 should agree with the total of federal and State project expenses on line 33 of page 8.</t>
  </si>
  <si>
    <t xml:space="preserve">Enter the total increase in construction in progress for the year ended June 30, 2025.  This amount is not recorded on the capital assets list until the project is completed.  Therefore, it will not appear on the capital assets list as of June 30, 2025.
</t>
  </si>
  <si>
    <t>Enter the total cost of construction in progress as of June 30, 2025.  This amount is not recorded on the capital assets list as of June 30, 2025.</t>
  </si>
  <si>
    <t>Enter the average teacher salary of all teachers employed in FY 2025. Each charter should be consistent in the type of salary information included in this table from year to year, as similarly reported in the budget. An optional comment box is available to provide any additional detail regarding the average teacher salary calculation.  Ensure the average teacher salary amount reported for FY 2024 pulls correctly from the prior year AFR.</t>
  </si>
  <si>
    <t>If an ending project balance is reported incorrectly on the FY 2024 AFR, charters should enter the correct amount in the adjusted beginning project balance column, lines 1 through 31. Lines that report amounts for multiple projects should enter a single amount for the calculated beginning project balance for all projects reported on that line. Only enter amount on these line if the charter needs to adjust beginning project balance for any errors or audit adjustments identified in the charter's FY 2024 audit.</t>
  </si>
  <si>
    <r>
      <t xml:space="preserve">ADE will use the information included on this page to complete the National Public Education Financial Survey (NPEFS) and Form 33 issued by the National Center for Education Statistics. </t>
    </r>
    <r>
      <rPr>
        <b/>
        <u/>
        <sz val="10"/>
        <rFont val="Times New Roman"/>
        <family val="1"/>
      </rPr>
      <t>All charters are required to submit NPEFS data</t>
    </r>
    <r>
      <rPr>
        <sz val="10"/>
        <rFont val="Times New Roman"/>
        <family val="1"/>
      </rPr>
      <t xml:space="preserve">, which is used to calculate a State per pupil expenditure amount that is used in the formula for allocating a number of federal program funds to states and local education agencies, including Title I, Impact Aid, and Indian Education. Other programs use State per pupil expenditure data indirectly because their allocation formulas are based, in whole or in part, on State Title I allocations. The NPEFS and Form 33 data is also used by researchers and government policymakers to address important education policy and research issues.
Report all amounts from Projects 1000 through 1999 on this page. Do not include principal payments.
If the charter has a negative amount in cell G25 (supplies from State and local sources), the negative amount is likely from an adjustment made to recognize spending from Child nutrition program revenues reported in the Food Service tab as federal spending rather than State and local spending where the Food Service Project is initially reported. If there is a negative amount in cell G25:
1. Note the amount of the negative balance and add that amount at the end of the formula in cell G25 (for example “+200”) to clear the negative. Then you must subtract that amount in total (for example “-200”) at the end of the formula(s) for one or more of the other State and local spending cells (D25 through F25 or H25 through K25), without creating a negative balance in any of those cells.
2. Finally, to complete this adjustment, add the adjustment amount(s) from step 1 above to the applicable federal source columns by object code in cells D24 through K24.
</t>
    </r>
  </si>
  <si>
    <t xml:space="preserve">Enter all known awards to date, awarded both before and after June 30, 2025. If the specific fund/program is not listed, it should be reported on line 6, Other COVID-19 Federal Relief Funds. 
For further assistance with this item, please contact the Auditor General's Accountability Services Division at (602) 977-2796 or email asd@azauditor.gov. 
New charters reporting for the first time: Enter the total award amounts in each line, as applicable. If your charter did not receive an award for a listed project, please enter 0 on that line. </t>
  </si>
  <si>
    <t>COVID-19 federal relief projects, FY 2020 through 2024
Expenses and Other Financing Uses</t>
  </si>
  <si>
    <t xml:space="preserve">Enter the total FY 2020 through 2024 expenses, including property disbursements, debt service payments, and indirect costs transfers-out amounts from each COVID project/program listed. If the amount is zero, enter 0. If the specific project/program is not listed, report on line 6, Other COVID-19 federal relief projects. </t>
  </si>
  <si>
    <t>COVID-19 federal relief projects, FY 2025 Expenses and Other Financing Uses</t>
  </si>
  <si>
    <r>
      <t>Enter the total expenses, including property disbursements and debt service payments, and indirect costs transfers-out made for FY 202</t>
    </r>
    <r>
      <rPr>
        <sz val="10"/>
        <color rgb="FFFF0000"/>
        <rFont val="Times New Roman"/>
        <family val="1"/>
      </rPr>
      <t>5</t>
    </r>
    <r>
      <rPr>
        <sz val="10"/>
        <rFont val="Times New Roman"/>
        <family val="2"/>
      </rPr>
      <t xml:space="preserve"> from each COVID project/program listed. If the amount is zero, enter 0. If the specific project/program is not listed, report on line 6, Other COVID-19 federal relief projects.
Total expenses on line 7 should agree to the amount displayed in cell F43.</t>
    </r>
  </si>
  <si>
    <t>Total FY 2025 expenses + indirect costs, debt service, and property disbursements</t>
  </si>
  <si>
    <t xml:space="preserve">Obtain total Attending ADM for FY 2024 and FY 2025 from the unweighted student count in ADE’s BSA-55 report, available on ADE’s website.  </t>
  </si>
  <si>
    <t xml:space="preserve">The beginning balance for each project, at July 1, 2024, automatically pull from the projects' ending balance reported on the FY 2024 AFR. </t>
  </si>
  <si>
    <t>If an ending project balance is reported incorrectly on the FY 2024 AFR, charters should enter the correct amount in the adjusted beginning project balance column on line 17. Only enter an amount on the line if the charter needs to adjust the beginning project balance for any errors or audit adjustments identified in the charter's FY 2024 audit.</t>
  </si>
  <si>
    <t>Report the cash balance (if any) as of July 1, 2025. If there was no cash balance as of July 1, 2025, subtract total expenses from total revenue to determine the cash balance as of June 30, 2025.</t>
  </si>
  <si>
    <t xml:space="preserve">This line pulls in prior year ending balances from the Summary tab for all projects. If any ending project balances were reported incorrectly on the prior year AFR, charters should enter the calculated beginning balance on the Summary tab, column C, as described in the instruction for that column. The calculated beginning balance should include any errors or audit adjustments identified in the Charter's FY 2024 audit. </t>
  </si>
  <si>
    <t xml:space="preserve">Report amounts the Charter plans to spend to support FY 2026 budgeted spending after using all available FY 2026 revenues. Any nonspendable amounts included in reserve such as current prepaid assets should be included in this line if the Charter plans to use them in FY 2026. Otherwise, such nonspendable assets should be included in the amounts reported on the lines below based on the Charter's plan to use them to benefit a future year, as applicable. </t>
  </si>
  <si>
    <t xml:space="preserve">Report accumulated reserve amounts that will not be used to finance current budget year expenses and their intended future purposes on lines 3.c through h. Amounts needed to support current-year (FY 2026) expenditures should have been reported on lines 3.b. See specific instructions for line 3. c through f below. If a specific purpose has not been listed, use lines 3. g and h and indicate the purpose. </t>
  </si>
  <si>
    <t>If the Charter answered question B.1 "Yes," complete this table to describe the Charter's specific FY 2025 targeted and actual project balance reserve amounts and methods used to establish those targeted balance reserve amounts. Charters should display information in this table in a way that best reflects its process or policies. It may combine all or multiple projects on 1 line or use individual lines for specific projects if varying methods are used to establish target balance reserve levels for different projects. Methods used can also include a variety of information. For example, a charter may establish project balance reserve levels based on a certain percentage of operating revenue or spending, or describe minimum and maximum targeted balances. If a charter establishes targeted project balance reserve amounts based on the Arizona State Board for Charter Schools financial framework or other private or nonprofit reserve guidelines, that may also be described here.</t>
  </si>
  <si>
    <t>Enter the total increase in capital assets, by asset classification, recorded in the general ledger and on the capital assets list for the year ended June 30, 2025.  These amounts represent only the assets acquired during the year costing $5,000 or more and, for equipment, having useful lives of 1 year or more. The amount should include assets that were acquired by purchase, leases, or construction for all projects. If no acquisitions were made during the year, enter a 0 value in each line.
Note: If the Charter's policy is to include intangible assets; land, buildings, and related improvements; site improvements; or equipment costing less than $5,000 on the capital assets list, these items should also be included.</t>
  </si>
  <si>
    <t>Enter the total cost, by asset classification, recorded in the general ledger and on the capital assets list as of June 30, 2025, for items costing $5,000 or more and, for equipment, having useful lives of 1 year or more, including right-of-use assets aquired through leases. These amounts represent the ending balances in the capital assets accounts, accounting for current year acquisitions and disposals, and should not include depreciation.
Note:  If the Charter's policy is to include land, buildings, and related improvements; site improvements; or equipment costing less than $5,000 on the capital assets list, these items should also be included.  The sum of lines 1, 2, 3, and 4 should agree with the amount recorded on the Charter's capital assets list as of June 30, 2025.</t>
  </si>
  <si>
    <t>Books, Periodicals, and Instructional Aids (programs 100-630, excluding 400)</t>
  </si>
  <si>
    <t>Page 6, section H, average teacher salary table is not complete. The average salary of all teachers employed in FY 2025 must be recorded on page 6, section H, line 1. New charters must still report an amount on line 1. If a charter was new and began operations in FY 2025, please indicate so by checking the box in K28.</t>
  </si>
  <si>
    <t>Consolidated the separate Food Service AFR into the AFR file.</t>
  </si>
  <si>
    <r>
      <t>Report the reimbursements received from Child Nutrition Programs based on the claims for the reporting year (July 1, 2024</t>
    </r>
    <r>
      <rPr>
        <sz val="10"/>
        <color theme="1"/>
        <rFont val="Calibri"/>
        <family val="2"/>
      </rPr>
      <t>–</t>
    </r>
    <r>
      <rPr>
        <sz val="10"/>
        <color theme="1"/>
        <rFont val="Times New Roman"/>
        <family val="1"/>
      </rPr>
      <t>June 30, 2025). Include all food service programs (School Lunch, Regular and Severe Need Breakfast, Special Milk, Reimbursable After School Care Snack, Summer Food, and Child Care Food Programs).
Report revenues received for Supply Chain Assistance Funds (for schools to purchase unprocessed or minimally processed domestic food products) and for Local Foods for Schools (Arizona's 'Try it Local' Program) for the reporting year (July 1, 2024 - June 30, 2025).</t>
    </r>
  </si>
  <si>
    <t xml:space="preserve">Section A presents the prior year's and current year's ending balances for all projects and provides space for charters to report FY 2025 ending balance details that identify how charters plan to use those monies in future years. </t>
  </si>
  <si>
    <t>Moved adjusted project balance cell from the Summary tab to Page 3.</t>
  </si>
  <si>
    <t>Moved adjusted project balance cell from the Summary tab to Page 4.</t>
  </si>
  <si>
    <t>Moved adjusted project balance cell from the Summary tab to Page 5.</t>
  </si>
  <si>
    <t>Highland Prep West</t>
  </si>
  <si>
    <t>Maricopa</t>
  </si>
  <si>
    <t>078419000</t>
  </si>
  <si>
    <t>Sharon Pozzi</t>
  </si>
  <si>
    <t>Dustin George</t>
  </si>
  <si>
    <t>1</t>
  </si>
  <si>
    <t>Schoolwide</t>
  </si>
  <si>
    <t>Committee Approval</t>
  </si>
  <si>
    <t>X</t>
  </si>
  <si>
    <t>highlandprepwest.org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</si>
</sst>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0_);\(0\)"/>
    <numFmt numFmtId="166" formatCode="0.0"/>
    <numFmt numFmtId="167" formatCode="0."/>
    <numFmt numFmtId="168" formatCode="\(0E+00\);\(\-0E+00\)"/>
    <numFmt numFmtId="169" formatCode="0.000"/>
    <numFmt numFmtId="170" formatCode="_(&quot;$&quot;* #,##0_);_(&quot;$&quot;* \(#,##0\);_(&quot;$&quot;* &quot;-&quot;??_);_(@_)"/>
    <numFmt numFmtId="171" formatCode="0.0%"/>
    <numFmt numFmtId="172" formatCode="_(* #,##0_);_(* \(#,##0\);_(* &quot;-&quot;??_);_(@_)"/>
    <numFmt numFmtId="173" formatCode="#,##0.0000_);\(#,##0.0000\)"/>
    <numFmt numFmtId="174" formatCode="#,##0.000_);\(#,##0.000\)"/>
  </numFmts>
  <fonts count="71" x14ac:knownFonts="1">
    <font>
      <sz val="10"/>
      <name val="Times New Roman"/>
      <family val="2"/>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b/>
      <sz val="10"/>
      <name val="Times New Roman"/>
      <family val="1"/>
    </font>
    <font>
      <sz val="9"/>
      <name val="Times New Roman"/>
      <family val="1"/>
    </font>
    <font>
      <b/>
      <sz val="10"/>
      <name val="Arial"/>
      <family val="2"/>
    </font>
    <font>
      <u/>
      <sz val="9"/>
      <color indexed="12"/>
      <name val="Arial"/>
      <family val="2"/>
    </font>
    <font>
      <b/>
      <sz val="14"/>
      <name val="Times New Roman"/>
      <family val="1"/>
    </font>
    <font>
      <b/>
      <sz val="12"/>
      <name val="Times New Roman"/>
      <family val="1"/>
    </font>
    <font>
      <sz val="10"/>
      <name val="Calibri"/>
      <family val="2"/>
    </font>
    <font>
      <sz val="10"/>
      <color indexed="12"/>
      <name val="Times New Roman"/>
      <family val="1"/>
    </font>
    <font>
      <b/>
      <u/>
      <sz val="10"/>
      <name val="Times New Roman"/>
      <family val="1"/>
    </font>
    <font>
      <sz val="11"/>
      <name val="Times New Roman"/>
      <family val="1"/>
    </font>
    <font>
      <sz val="12"/>
      <name val="Arial"/>
      <family val="2"/>
    </font>
    <font>
      <b/>
      <sz val="10"/>
      <color indexed="12"/>
      <name val="Times New Roman"/>
      <family val="1"/>
    </font>
    <font>
      <sz val="8"/>
      <name val="Times New Roman"/>
      <family val="1"/>
    </font>
    <font>
      <strike/>
      <sz val="10"/>
      <name val="Times New Roman"/>
      <family val="1"/>
    </font>
    <font>
      <b/>
      <sz val="11"/>
      <name val="Times New Roman"/>
      <family val="1"/>
    </font>
    <font>
      <u/>
      <sz val="9"/>
      <color indexed="12"/>
      <name val="Times New Roman"/>
      <family val="1"/>
    </font>
    <font>
      <b/>
      <i/>
      <sz val="10"/>
      <name val="Times New Roman"/>
      <family val="1"/>
    </font>
    <font>
      <b/>
      <sz val="9"/>
      <name val="Times New Roman"/>
      <family val="1"/>
    </font>
    <font>
      <i/>
      <sz val="10"/>
      <name val="Times New Roman"/>
      <family val="1"/>
    </font>
    <font>
      <sz val="11"/>
      <name val="Calibri"/>
      <family val="2"/>
    </font>
    <font>
      <u/>
      <sz val="9"/>
      <name val="Arial"/>
      <family val="2"/>
    </font>
    <font>
      <sz val="10"/>
      <name val="Cambria"/>
      <family val="1"/>
    </font>
    <font>
      <b/>
      <sz val="10"/>
      <color indexed="8"/>
      <name val="Times New Roman"/>
      <family val="1"/>
    </font>
    <font>
      <b/>
      <sz val="11"/>
      <color theme="1"/>
      <name val="Calibri"/>
      <family val="2"/>
      <scheme val="minor"/>
    </font>
    <font>
      <sz val="10"/>
      <color theme="1"/>
      <name val="Times New Roman"/>
      <family val="1"/>
    </font>
    <font>
      <b/>
      <u/>
      <sz val="10"/>
      <color rgb="FF0000FF"/>
      <name val="Times New Roman"/>
      <family val="1"/>
    </font>
    <font>
      <sz val="10"/>
      <color rgb="FF0000FF"/>
      <name val="Times New Roman"/>
      <family val="1"/>
    </font>
    <font>
      <b/>
      <sz val="10"/>
      <color rgb="FF0000FF"/>
      <name val="Times New Roman"/>
      <family val="1"/>
    </font>
    <font>
      <sz val="10"/>
      <color rgb="FFFF0000"/>
      <name val="Times New Roman"/>
      <family val="1"/>
    </font>
    <font>
      <strike/>
      <sz val="10"/>
      <color rgb="FFFF0000"/>
      <name val="Times New Roman"/>
      <family val="1"/>
    </font>
    <font>
      <sz val="11"/>
      <name val="Calibri"/>
      <family val="2"/>
      <scheme val="minor"/>
    </font>
    <font>
      <b/>
      <sz val="11"/>
      <color theme="1"/>
      <name val="Times New Roman"/>
      <family val="1"/>
    </font>
    <font>
      <sz val="11"/>
      <color theme="1"/>
      <name val="Times New Roman"/>
      <family val="1"/>
    </font>
    <font>
      <sz val="11"/>
      <color theme="0" tint="-0.24985503707998902"/>
      <name val="Times New Roman"/>
      <family val="1"/>
    </font>
    <font>
      <b/>
      <sz val="11"/>
      <name val="Calibri"/>
      <family val="2"/>
      <scheme val="minor"/>
    </font>
    <font>
      <sz val="8"/>
      <color rgb="FF000000"/>
      <name val="Arial"/>
      <family val="2"/>
    </font>
    <font>
      <u/>
      <sz val="8"/>
      <color rgb="FF0000FF"/>
      <name val="Times New Roman"/>
      <family val="1"/>
    </font>
    <font>
      <sz val="10"/>
      <color theme="0"/>
      <name val="Times New Roman"/>
      <family val="1"/>
    </font>
    <font>
      <sz val="11"/>
      <color theme="1" tint="0.34998626667073579"/>
      <name val="Calibri"/>
      <family val="2"/>
    </font>
    <font>
      <b/>
      <sz val="10"/>
      <color rgb="FFFF0000"/>
      <name val="Times New Roman"/>
      <family val="1"/>
    </font>
    <font>
      <sz val="10"/>
      <color theme="2" tint="-0.74987029633472702"/>
      <name val="Times New Roman"/>
      <family val="1"/>
    </font>
    <font>
      <sz val="11"/>
      <color rgb="FF000000"/>
      <name val="Calibri"/>
      <family val="2"/>
      <scheme val="minor"/>
    </font>
    <font>
      <u/>
      <sz val="10"/>
      <color indexed="12"/>
      <name val="Arial"/>
      <family val="2"/>
    </font>
    <font>
      <sz val="10"/>
      <color indexed="8"/>
      <name val="Times New Roman"/>
      <family val="1"/>
    </font>
    <font>
      <sz val="10"/>
      <color theme="0" tint="-0.3498947111423078"/>
      <name val="Times New Roman"/>
      <family val="1"/>
    </font>
    <font>
      <sz val="10"/>
      <color rgb="FF000000"/>
      <name val="Times New Roman"/>
      <family val="1"/>
    </font>
    <font>
      <sz val="9"/>
      <color rgb="FFFF0000"/>
      <name val="Times New Roman"/>
      <family val="1"/>
    </font>
    <font>
      <sz val="10"/>
      <color rgb="FF0000CC"/>
      <name val="Times New Roman"/>
      <family val="2"/>
    </font>
    <font>
      <b/>
      <sz val="10"/>
      <color theme="1"/>
      <name val="Times New Roman"/>
      <family val="1"/>
    </font>
    <font>
      <b/>
      <u/>
      <sz val="10"/>
      <color theme="1"/>
      <name val="Times New Roman"/>
      <family val="1"/>
    </font>
    <font>
      <b/>
      <sz val="10"/>
      <color rgb="FF0000CC"/>
      <name val="Times New Roman"/>
      <family val="1"/>
    </font>
    <font>
      <i/>
      <sz val="10"/>
      <color theme="1"/>
      <name val="Times New Roman"/>
      <family val="1"/>
    </font>
    <font>
      <sz val="11"/>
      <color rgb="FFFF0000"/>
      <name val="Times New Roman"/>
      <family val="1"/>
    </font>
    <font>
      <sz val="14"/>
      <name val="Times New Roman"/>
      <family val="1"/>
    </font>
    <font>
      <sz val="10"/>
      <color rgb="FF3366FF"/>
      <name val="Times New Roman"/>
      <family val="1"/>
    </font>
    <font>
      <b/>
      <sz val="8"/>
      <color indexed="12"/>
      <name val="Times New Roman"/>
      <family val="1"/>
    </font>
    <font>
      <b/>
      <sz val="11"/>
      <color rgb="FFFF0000"/>
      <name val="Times New Roman"/>
      <family val="1"/>
    </font>
    <font>
      <u/>
      <sz val="10"/>
      <name val="Times New Roman"/>
      <family val="1"/>
    </font>
    <font>
      <u/>
      <sz val="10"/>
      <color indexed="12"/>
      <name val="Times New Roman"/>
      <family val="1"/>
    </font>
    <font>
      <sz val="10"/>
      <name val="Times New Roman"/>
      <family val="2"/>
    </font>
    <font>
      <u/>
      <sz val="10"/>
      <color rgb="FF0000FF"/>
      <name val="Times New Roman"/>
      <family val="1"/>
    </font>
    <font>
      <b/>
      <sz val="16"/>
      <name val="Times New Roman"/>
      <family val="1"/>
    </font>
    <font>
      <sz val="10"/>
      <name val="Times New Roman"/>
      <family val="1"/>
    </font>
    <font>
      <sz val="9"/>
      <name val="Times New Roman"/>
      <family val="2"/>
    </font>
    <font>
      <sz val="10"/>
      <color rgb="FF0000FF"/>
      <name val="Times New Roman"/>
      <family val="2"/>
    </font>
    <font>
      <sz val="10"/>
      <color theme="1"/>
      <name val="Calibri"/>
      <family val="2"/>
    </font>
  </fonts>
  <fills count="18">
    <fill>
      <patternFill patternType="none"/>
    </fill>
    <fill>
      <patternFill patternType="gray125"/>
    </fill>
    <fill>
      <patternFill patternType="solid">
        <fgColor theme="0" tint="-0.1498764000366222"/>
        <bgColor indexed="64"/>
      </patternFill>
    </fill>
    <fill>
      <patternFill patternType="solid">
        <fgColor theme="9" tint="0.59987182226020086"/>
        <bgColor indexed="64"/>
      </patternFill>
    </fill>
    <fill>
      <patternFill patternType="solid">
        <fgColor theme="0"/>
        <bgColor indexed="64"/>
      </patternFill>
    </fill>
    <fill>
      <patternFill patternType="solid">
        <fgColor indexed="9"/>
        <bgColor indexed="64"/>
      </patternFill>
    </fill>
    <fill>
      <patternFill patternType="solid">
        <fgColor rgb="FFCCFFFF"/>
        <bgColor indexed="64"/>
      </patternFill>
    </fill>
    <fill>
      <patternFill patternType="solid">
        <fgColor indexed="22"/>
        <bgColor indexed="64"/>
      </patternFill>
    </fill>
    <fill>
      <patternFill patternType="solid">
        <fgColor theme="0" tint="-0.24988555558946501"/>
        <bgColor indexed="64"/>
      </patternFill>
    </fill>
    <fill>
      <patternFill patternType="solid">
        <fgColor theme="0" tint="-0.24985503707998902"/>
        <bgColor indexed="64"/>
      </patternFill>
    </fill>
    <fill>
      <patternFill patternType="solid">
        <fgColor theme="0" tint="-0.24982451857051302"/>
        <bgColor indexed="64"/>
      </patternFill>
    </fill>
    <fill>
      <patternFill patternType="solid">
        <fgColor rgb="FFFFFF00"/>
        <bgColor indexed="64"/>
      </patternFill>
    </fill>
    <fill>
      <patternFill patternType="solid">
        <fgColor theme="0" tint="-0.14990691854609822"/>
        <bgColor indexed="64"/>
      </patternFill>
    </fill>
    <fill>
      <patternFill patternType="solid">
        <fgColor theme="4" tint="0.79985961485641044"/>
        <bgColor indexed="64"/>
      </patternFill>
    </fill>
    <fill>
      <patternFill patternType="solid">
        <fgColor theme="5" tint="0.59987182226020086"/>
        <bgColor indexed="64"/>
      </patternFill>
    </fill>
    <fill>
      <patternFill patternType="solid">
        <fgColor theme="5" tint="0.39997558519241921"/>
        <bgColor indexed="64"/>
      </patternFill>
    </fill>
    <fill>
      <patternFill patternType="solid">
        <fgColor rgb="FFFF7474"/>
        <bgColor indexed="64"/>
      </patternFill>
    </fill>
    <fill>
      <patternFill patternType="solid">
        <fgColor rgb="FFFFFFCC"/>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double">
        <color auto="1"/>
      </bottom>
      <diagonal/>
    </border>
    <border>
      <left/>
      <right/>
      <top style="thin">
        <color auto="1"/>
      </top>
      <bottom style="double">
        <color auto="1"/>
      </bottom>
      <diagonal/>
    </border>
    <border>
      <left/>
      <right/>
      <top/>
      <bottom style="double">
        <color auto="1"/>
      </bottom>
      <diagonal/>
    </border>
    <border>
      <left style="thin">
        <color auto="1"/>
      </left>
      <right style="thin">
        <color auto="1"/>
      </right>
      <top style="thin">
        <color auto="1"/>
      </top>
      <bottom style="double">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style="thin">
        <color indexed="8"/>
      </left>
      <right style="thin">
        <color indexed="8"/>
      </right>
      <top/>
      <bottom style="thin">
        <color auto="1"/>
      </bottom>
      <diagonal/>
    </border>
    <border>
      <left style="thin">
        <color indexed="8"/>
      </left>
      <right/>
      <top/>
      <bottom style="thin">
        <color indexed="8"/>
      </bottom>
      <diagonal/>
    </border>
    <border>
      <left/>
      <right style="thin">
        <color auto="1"/>
      </right>
      <top style="thin">
        <color indexed="8"/>
      </top>
      <bottom/>
      <diagonal/>
    </border>
    <border>
      <left style="thin">
        <color auto="1"/>
      </left>
      <right style="thin">
        <color auto="1"/>
      </right>
      <top style="thin">
        <color indexed="8"/>
      </top>
      <bottom style="thin">
        <color auto="1"/>
      </bottom>
      <diagonal/>
    </border>
    <border>
      <left/>
      <right style="thin">
        <color auto="1"/>
      </right>
      <top style="thin">
        <color indexed="8"/>
      </top>
      <bottom style="thin">
        <color auto="1"/>
      </bottom>
      <diagonal/>
    </border>
    <border>
      <left style="thin">
        <color auto="1"/>
      </left>
      <right style="thin">
        <color auto="1"/>
      </right>
      <top/>
      <bottom style="medium">
        <color auto="1"/>
      </bottom>
      <diagonal/>
    </border>
    <border>
      <left/>
      <right style="thin">
        <color auto="1"/>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5">
    <xf numFmtId="0" fontId="0" fillId="0" borderId="0"/>
    <xf numFmtId="9" fontId="64"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8" fillId="0" borderId="0" applyNumberFormat="0" applyFill="0" applyBorder="0">
      <protection locked="0"/>
    </xf>
    <xf numFmtId="0" fontId="4" fillId="0" borderId="0"/>
    <xf numFmtId="0" fontId="15" fillId="0" borderId="0" applyFont="0" applyBorder="0"/>
    <xf numFmtId="0" fontId="3" fillId="0" borderId="0"/>
    <xf numFmtId="0" fontId="3" fillId="0" borderId="0"/>
    <xf numFmtId="0" fontId="4" fillId="0" borderId="0"/>
    <xf numFmtId="0" fontId="47" fillId="0" borderId="0" applyNumberFormat="0" applyFill="0" applyBorder="0">
      <protection locked="0"/>
    </xf>
    <xf numFmtId="0" fontId="64" fillId="0" borderId="0"/>
    <xf numFmtId="0" fontId="8" fillId="0" borderId="0" applyNumberFormat="0" applyFill="0" applyBorder="0">
      <protection locked="0"/>
    </xf>
  </cellStyleXfs>
  <cellXfs count="1005">
    <xf numFmtId="0" fontId="0" fillId="0" borderId="0" xfId="0"/>
    <xf numFmtId="0" fontId="0" fillId="0" borderId="3" xfId="0" applyBorder="1" applyAlignment="1">
      <alignment horizontal="center"/>
    </xf>
    <xf numFmtId="49" fontId="0" fillId="0" borderId="3" xfId="0" applyNumberFormat="1" applyBorder="1" applyAlignment="1">
      <alignment horizontal="center"/>
    </xf>
    <xf numFmtId="0" fontId="5" fillId="0" borderId="0" xfId="0" applyFont="1" applyAlignment="1">
      <alignment horizontal="left"/>
    </xf>
    <xf numFmtId="0" fontId="0" fillId="0" borderId="0" xfId="0" applyAlignment="1">
      <alignment horizontal="center"/>
    </xf>
    <xf numFmtId="0" fontId="0" fillId="0" borderId="0" xfId="0" applyAlignment="1">
      <alignment horizontal="center" wrapText="1"/>
    </xf>
    <xf numFmtId="0" fontId="0" fillId="0" borderId="3" xfId="0" applyBorder="1"/>
    <xf numFmtId="0" fontId="0" fillId="0" borderId="0" xfId="0" applyAlignment="1">
      <alignment horizontal="right"/>
    </xf>
    <xf numFmtId="0" fontId="0" fillId="0" borderId="0" xfId="0" applyAlignment="1">
      <alignment wrapText="1"/>
    </xf>
    <xf numFmtId="0" fontId="37" fillId="0" borderId="1" xfId="7" applyFont="1" applyBorder="1" applyProtection="1">
      <protection locked="0"/>
    </xf>
    <xf numFmtId="49" fontId="37" fillId="0" borderId="1" xfId="7" applyNumberFormat="1" applyFont="1" applyBorder="1" applyProtection="1">
      <protection locked="0"/>
    </xf>
    <xf numFmtId="0" fontId="37" fillId="0" borderId="1" xfId="7" applyFont="1" applyBorder="1" applyAlignment="1" applyProtection="1">
      <alignment horizontal="right"/>
      <protection locked="0"/>
    </xf>
    <xf numFmtId="0" fontId="37" fillId="0" borderId="1" xfId="7" applyFont="1" applyBorder="1" applyAlignment="1" applyProtection="1">
      <alignment wrapText="1"/>
      <protection locked="0"/>
    </xf>
    <xf numFmtId="0" fontId="39" fillId="2" borderId="1" xfId="7" applyFont="1" applyFill="1" applyBorder="1" applyAlignment="1" applyProtection="1">
      <alignment horizontal="center"/>
      <protection locked="0"/>
    </xf>
    <xf numFmtId="0" fontId="4" fillId="0" borderId="0" xfId="7" applyProtection="1">
      <protection locked="0"/>
    </xf>
    <xf numFmtId="0" fontId="4" fillId="0" borderId="0" xfId="7" applyAlignment="1" applyProtection="1">
      <alignment horizontal="left" vertical="top"/>
      <protection locked="0"/>
    </xf>
    <xf numFmtId="0" fontId="4" fillId="0" borderId="0" xfId="7" applyAlignment="1" applyProtection="1">
      <alignment horizontal="left" vertical="top" wrapText="1"/>
      <protection locked="0"/>
    </xf>
    <xf numFmtId="0" fontId="4" fillId="3" borderId="2" xfId="7" applyFill="1" applyBorder="1" applyAlignment="1" applyProtection="1">
      <alignment horizontal="left" vertical="top"/>
      <protection locked="0"/>
    </xf>
    <xf numFmtId="49" fontId="40" fillId="0" borderId="0" xfId="7" applyNumberFormat="1" applyFont="1" applyProtection="1">
      <protection locked="0"/>
    </xf>
    <xf numFmtId="0" fontId="4" fillId="0" borderId="0" xfId="7" applyAlignment="1" applyProtection="1">
      <alignment horizontal="left" indent="1"/>
      <protection locked="0"/>
    </xf>
    <xf numFmtId="0" fontId="37" fillId="0" borderId="0" xfId="7" applyFont="1" applyAlignment="1" applyProtection="1">
      <alignment horizontal="left" vertical="top"/>
      <protection locked="0"/>
    </xf>
    <xf numFmtId="40" fontId="39" fillId="2" borderId="1" xfId="7" applyNumberFormat="1" applyFont="1" applyFill="1" applyBorder="1" applyAlignment="1" applyProtection="1">
      <alignment horizontal="center"/>
      <protection locked="0"/>
    </xf>
    <xf numFmtId="40" fontId="4" fillId="0" borderId="0" xfId="7" applyNumberFormat="1" applyAlignment="1" applyProtection="1">
      <alignment horizontal="left" vertical="top"/>
      <protection locked="0"/>
    </xf>
    <xf numFmtId="40" fontId="4" fillId="0" borderId="0" xfId="7" applyNumberFormat="1" applyProtection="1">
      <protection locked="0"/>
    </xf>
    <xf numFmtId="0" fontId="39" fillId="2" borderId="2" xfId="7" applyFont="1" applyFill="1" applyBorder="1" applyAlignment="1" applyProtection="1">
      <alignment horizontal="center"/>
      <protection locked="0"/>
    </xf>
    <xf numFmtId="0" fontId="4" fillId="3" borderId="0" xfId="7" applyFill="1" applyProtection="1">
      <protection locked="0"/>
    </xf>
    <xf numFmtId="0" fontId="4" fillId="3" borderId="0" xfId="7" applyFill="1" applyAlignment="1" applyProtection="1">
      <alignment horizontal="left" vertical="top"/>
      <protection locked="0"/>
    </xf>
    <xf numFmtId="0" fontId="4" fillId="3" borderId="0" xfId="7" applyFill="1" applyAlignment="1" applyProtection="1">
      <alignment horizontal="left"/>
      <protection locked="0"/>
    </xf>
    <xf numFmtId="0" fontId="46" fillId="4" borderId="0" xfId="0" applyFont="1" applyFill="1" applyProtection="1">
      <protection locked="0"/>
    </xf>
    <xf numFmtId="37" fontId="0" fillId="0" borderId="3" xfId="0" applyNumberFormat="1" applyBorder="1" applyProtection="1">
      <protection locked="0"/>
    </xf>
    <xf numFmtId="37" fontId="0" fillId="0" borderId="4" xfId="0" applyNumberFormat="1" applyBorder="1" applyProtection="1">
      <protection locked="0"/>
    </xf>
    <xf numFmtId="37" fontId="0" fillId="0" borderId="0" xfId="0" applyNumberFormat="1"/>
    <xf numFmtId="37" fontId="0" fillId="0" borderId="0" xfId="0" applyNumberFormat="1" applyProtection="1">
      <protection locked="0"/>
    </xf>
    <xf numFmtId="37" fontId="0" fillId="0" borderId="1" xfId="0" applyNumberFormat="1" applyBorder="1" applyAlignment="1" applyProtection="1">
      <alignment horizontal="right"/>
      <protection locked="0"/>
    </xf>
    <xf numFmtId="37" fontId="0" fillId="0" borderId="5" xfId="0" applyNumberFormat="1" applyBorder="1" applyAlignment="1" applyProtection="1">
      <alignment horizontal="right"/>
      <protection locked="0"/>
    </xf>
    <xf numFmtId="0" fontId="46" fillId="4" borderId="6" xfId="0" applyFont="1" applyFill="1" applyBorder="1" applyProtection="1">
      <protection locked="0"/>
    </xf>
    <xf numFmtId="168" fontId="54" fillId="0" borderId="7" xfId="12" applyNumberFormat="1" applyFont="1" applyFill="1" applyBorder="1" applyProtection="1"/>
    <xf numFmtId="37" fontId="29" fillId="0" borderId="1" xfId="10" applyNumberFormat="1" applyFont="1" applyBorder="1" applyAlignment="1" applyProtection="1">
      <alignment horizontal="right" vertical="center"/>
      <protection locked="0"/>
    </xf>
    <xf numFmtId="168" fontId="5" fillId="0" borderId="1" xfId="12" applyNumberFormat="1" applyFont="1" applyFill="1" applyBorder="1" applyAlignment="1" applyProtection="1">
      <alignment horizontal="center" wrapText="1"/>
    </xf>
    <xf numFmtId="37" fontId="29" fillId="0" borderId="1" xfId="4" applyNumberFormat="1" applyFont="1" applyFill="1" applyBorder="1" applyProtection="1">
      <protection locked="0"/>
    </xf>
    <xf numFmtId="37" fontId="29" fillId="5" borderId="1" xfId="10" quotePrefix="1" applyNumberFormat="1" applyFont="1" applyFill="1" applyBorder="1" applyProtection="1">
      <protection locked="0"/>
    </xf>
    <xf numFmtId="37" fontId="29" fillId="0" borderId="1" xfId="4" applyNumberFormat="1" applyFont="1" applyFill="1" applyBorder="1" applyAlignment="1" applyProtection="1">
      <alignment wrapText="1"/>
    </xf>
    <xf numFmtId="37" fontId="29" fillId="0" borderId="8" xfId="4" applyNumberFormat="1" applyFont="1" applyFill="1" applyBorder="1" applyProtection="1">
      <protection locked="0"/>
    </xf>
    <xf numFmtId="37" fontId="29" fillId="0" borderId="0" xfId="4" applyNumberFormat="1" applyFont="1" applyFill="1" applyBorder="1" applyProtection="1"/>
    <xf numFmtId="0" fontId="16" fillId="0" borderId="0" xfId="12" applyFont="1" applyFill="1" applyBorder="1" applyProtection="1"/>
    <xf numFmtId="0" fontId="32" fillId="0" borderId="0" xfId="12" applyFont="1" applyFill="1" applyBorder="1" applyProtection="1"/>
    <xf numFmtId="165" fontId="29" fillId="0" borderId="0" xfId="12" applyNumberFormat="1" applyFont="1" applyFill="1" applyBorder="1" applyAlignment="1" applyProtection="1">
      <alignment vertical="center" wrapText="1"/>
    </xf>
    <xf numFmtId="165" fontId="33" fillId="0" borderId="0" xfId="12" applyNumberFormat="1" applyFont="1" applyFill="1" applyBorder="1" applyAlignment="1" applyProtection="1">
      <alignment horizontal="center" vertical="center" wrapText="1"/>
    </xf>
    <xf numFmtId="168" fontId="12" fillId="6" borderId="9" xfId="12" applyNumberFormat="1" applyFont="1" applyFill="1" applyBorder="1" applyAlignment="1" applyProtection="1">
      <alignment horizontal="left"/>
    </xf>
    <xf numFmtId="165" fontId="29" fillId="6" borderId="4" xfId="12" applyNumberFormat="1" applyFont="1" applyFill="1" applyBorder="1" applyAlignment="1" applyProtection="1">
      <alignment horizontal="left"/>
    </xf>
    <xf numFmtId="37" fontId="29" fillId="0" borderId="1" xfId="10" applyNumberFormat="1" applyFont="1" applyBorder="1" applyProtection="1">
      <protection locked="0"/>
    </xf>
    <xf numFmtId="168" fontId="12" fillId="6" borderId="4" xfId="12" applyNumberFormat="1" applyFont="1" applyFill="1" applyBorder="1" applyAlignment="1" applyProtection="1">
      <alignment horizontal="left"/>
    </xf>
    <xf numFmtId="37" fontId="53" fillId="0" borderId="1" xfId="4" applyNumberFormat="1" applyFont="1" applyFill="1" applyBorder="1" applyAlignment="1" applyProtection="1">
      <alignment horizontal="right"/>
    </xf>
    <xf numFmtId="0" fontId="42" fillId="0" borderId="0" xfId="0" applyFont="1"/>
    <xf numFmtId="37" fontId="50" fillId="4" borderId="1" xfId="0" applyNumberFormat="1" applyFont="1" applyFill="1" applyBorder="1" applyProtection="1">
      <protection locked="0"/>
    </xf>
    <xf numFmtId="37" fontId="50" fillId="4" borderId="5" xfId="0" applyNumberFormat="1" applyFont="1" applyFill="1" applyBorder="1" applyProtection="1">
      <protection locked="0"/>
    </xf>
    <xf numFmtId="37" fontId="50" fillId="0" borderId="1" xfId="0" applyNumberFormat="1" applyFont="1" applyBorder="1" applyProtection="1">
      <protection locked="0"/>
    </xf>
    <xf numFmtId="37" fontId="50" fillId="4" borderId="10" xfId="0" applyNumberFormat="1" applyFont="1" applyFill="1" applyBorder="1" applyProtection="1">
      <protection locked="0"/>
    </xf>
    <xf numFmtId="37" fontId="50" fillId="4" borderId="11" xfId="0" applyNumberFormat="1" applyFont="1" applyFill="1" applyBorder="1" applyProtection="1">
      <protection locked="0"/>
    </xf>
    <xf numFmtId="37" fontId="50" fillId="0" borderId="11" xfId="0" applyNumberFormat="1" applyFont="1" applyBorder="1" applyProtection="1">
      <protection locked="0"/>
    </xf>
    <xf numFmtId="37" fontId="50" fillId="0" borderId="3" xfId="0" applyNumberFormat="1" applyFont="1" applyBorder="1" applyProtection="1">
      <protection locked="0"/>
    </xf>
    <xf numFmtId="3" fontId="50" fillId="0" borderId="3" xfId="0" applyNumberFormat="1" applyFont="1" applyBorder="1" applyProtection="1">
      <protection locked="0"/>
    </xf>
    <xf numFmtId="0" fontId="60" fillId="6" borderId="4" xfId="12" applyFont="1" applyFill="1" applyBorder="1" applyProtection="1"/>
    <xf numFmtId="0" fontId="60" fillId="6" borderId="8" xfId="12" applyFont="1" applyFill="1" applyBorder="1" applyProtection="1"/>
    <xf numFmtId="0" fontId="5" fillId="0" borderId="0" xfId="0" applyFont="1" applyAlignment="1">
      <alignment horizontal="right"/>
    </xf>
    <xf numFmtId="0" fontId="5" fillId="0" borderId="1" xfId="0" applyFont="1" applyBorder="1" applyAlignment="1">
      <alignment horizontal="center"/>
    </xf>
    <xf numFmtId="0" fontId="6" fillId="0" borderId="0" xfId="0" applyFont="1"/>
    <xf numFmtId="0" fontId="0" fillId="0" borderId="0" xfId="0" quotePrefix="1" applyAlignment="1">
      <alignment horizontal="right"/>
    </xf>
    <xf numFmtId="49" fontId="0" fillId="0" borderId="0" xfId="0" applyNumberFormat="1" applyAlignment="1">
      <alignment horizontal="right"/>
    </xf>
    <xf numFmtId="0" fontId="51" fillId="0" borderId="0" xfId="0" applyFont="1"/>
    <xf numFmtId="0" fontId="6" fillId="0" borderId="0" xfId="0" applyFont="1" applyAlignment="1">
      <alignment horizontal="centerContinuous"/>
    </xf>
    <xf numFmtId="0" fontId="0" fillId="0" borderId="0" xfId="0" applyAlignment="1">
      <alignment horizontal="centerContinuous"/>
    </xf>
    <xf numFmtId="49" fontId="0" fillId="0" borderId="0" xfId="0" quotePrefix="1" applyNumberFormat="1" applyAlignment="1">
      <alignment horizontal="right"/>
    </xf>
    <xf numFmtId="0" fontId="0" fillId="0" borderId="12" xfId="0" applyBorder="1"/>
    <xf numFmtId="0" fontId="0" fillId="0" borderId="7" xfId="0" applyBorder="1"/>
    <xf numFmtId="0" fontId="0" fillId="0" borderId="13" xfId="0" applyBorder="1"/>
    <xf numFmtId="0" fontId="0" fillId="0" borderId="10" xfId="0" applyBorder="1" applyAlignment="1">
      <alignment horizontal="centerContinuous"/>
    </xf>
    <xf numFmtId="0" fontId="0" fillId="0" borderId="13" xfId="0" applyBorder="1" applyAlignment="1">
      <alignment horizontal="centerContinuous"/>
    </xf>
    <xf numFmtId="0" fontId="0" fillId="0" borderId="12" xfId="0" applyBorder="1" applyAlignment="1">
      <alignment horizontal="centerContinuous"/>
    </xf>
    <xf numFmtId="0" fontId="32" fillId="6" borderId="2" xfId="6" applyFont="1" applyFill="1" applyBorder="1" applyProtection="1"/>
    <xf numFmtId="0" fontId="0" fillId="0" borderId="14" xfId="0" applyBorder="1"/>
    <xf numFmtId="0" fontId="0" fillId="0" borderId="2" xfId="0" applyBorder="1" applyAlignment="1">
      <alignment horizontal="center"/>
    </xf>
    <xf numFmtId="0" fontId="0" fillId="0" borderId="15" xfId="0" applyBorder="1" applyAlignment="1">
      <alignment horizontal="centerContinuous"/>
    </xf>
    <xf numFmtId="0" fontId="0" fillId="0" borderId="15" xfId="0" applyBorder="1" applyAlignment="1">
      <alignment horizontal="center"/>
    </xf>
    <xf numFmtId="0" fontId="0" fillId="0" borderId="14" xfId="0" applyBorder="1" applyAlignment="1">
      <alignment horizontal="centerContinuous"/>
    </xf>
    <xf numFmtId="0" fontId="0" fillId="0" borderId="10" xfId="0" applyBorder="1"/>
    <xf numFmtId="0" fontId="5" fillId="0" borderId="16" xfId="0" applyFont="1" applyBorder="1"/>
    <xf numFmtId="0" fontId="0" fillId="0" borderId="17" xfId="0" applyBorder="1"/>
    <xf numFmtId="0" fontId="0" fillId="0" borderId="5" xfId="0" applyBorder="1" applyAlignment="1">
      <alignment horizontal="center"/>
    </xf>
    <xf numFmtId="0" fontId="5" fillId="0" borderId="12" xfId="0" applyFont="1" applyBorder="1"/>
    <xf numFmtId="37" fontId="0" fillId="0" borderId="10" xfId="0" applyNumberFormat="1" applyBorder="1"/>
    <xf numFmtId="0" fontId="0" fillId="0" borderId="2" xfId="0" applyBorder="1"/>
    <xf numFmtId="49" fontId="0" fillId="0" borderId="14" xfId="0" applyNumberFormat="1" applyBorder="1" applyAlignment="1">
      <alignment horizontal="right"/>
    </xf>
    <xf numFmtId="49" fontId="0" fillId="0" borderId="0" xfId="0" applyNumberFormat="1" applyAlignment="1">
      <alignment horizontal="left"/>
    </xf>
    <xf numFmtId="37" fontId="0" fillId="0" borderId="12" xfId="0" applyNumberFormat="1" applyBorder="1"/>
    <xf numFmtId="0" fontId="0" fillId="0" borderId="16" xfId="0" applyBorder="1"/>
    <xf numFmtId="49" fontId="0" fillId="0" borderId="3" xfId="0" applyNumberFormat="1" applyBorder="1" applyAlignment="1">
      <alignment horizontal="right"/>
    </xf>
    <xf numFmtId="0" fontId="5" fillId="0" borderId="2" xfId="0" applyFont="1" applyBorder="1"/>
    <xf numFmtId="49" fontId="0" fillId="0" borderId="17" xfId="0" applyNumberFormat="1" applyBorder="1" applyAlignment="1">
      <alignment horizontal="right"/>
    </xf>
    <xf numFmtId="10" fontId="50" fillId="4" borderId="0" xfId="0" applyNumberFormat="1" applyFont="1" applyFill="1"/>
    <xf numFmtId="49" fontId="0" fillId="0" borderId="2" xfId="0" applyNumberFormat="1" applyBorder="1" applyAlignment="1">
      <alignment horizontal="right"/>
    </xf>
    <xf numFmtId="0" fontId="0" fillId="0" borderId="9" xfId="0" applyBorder="1"/>
    <xf numFmtId="0" fontId="0" fillId="0" borderId="4" xfId="0" applyBorder="1"/>
    <xf numFmtId="49" fontId="0" fillId="0" borderId="8" xfId="0" applyNumberFormat="1" applyBorder="1" applyAlignment="1">
      <alignment horizontal="right"/>
    </xf>
    <xf numFmtId="37" fontId="0" fillId="7" borderId="1" xfId="0" applyNumberFormat="1" applyFill="1" applyBorder="1"/>
    <xf numFmtId="0" fontId="25" fillId="6" borderId="4" xfId="6" applyFont="1" applyFill="1" applyBorder="1" applyProtection="1"/>
    <xf numFmtId="37" fontId="0" fillId="8" borderId="1" xfId="0" applyNumberFormat="1" applyFill="1" applyBorder="1"/>
    <xf numFmtId="37" fontId="0" fillId="0" borderId="1" xfId="0" applyNumberFormat="1" applyBorder="1" applyProtection="1">
      <protection locked="0"/>
    </xf>
    <xf numFmtId="0" fontId="7" fillId="0" borderId="0" xfId="0" applyFont="1" applyAlignment="1">
      <alignment horizontal="left"/>
    </xf>
    <xf numFmtId="0" fontId="33" fillId="0" borderId="0" xfId="0" applyFont="1" applyAlignment="1">
      <alignment vertical="center" wrapText="1"/>
    </xf>
    <xf numFmtId="0" fontId="33" fillId="0" borderId="14" xfId="0" applyFont="1" applyBorder="1" applyAlignment="1">
      <alignment vertical="center" wrapText="1"/>
    </xf>
    <xf numFmtId="0" fontId="0" fillId="4" borderId="0" xfId="0" applyFill="1"/>
    <xf numFmtId="0" fontId="0" fillId="0" borderId="0" xfId="0" applyAlignment="1">
      <alignment horizontal="justify" vertical="top" wrapText="1"/>
    </xf>
    <xf numFmtId="0" fontId="0" fillId="0" borderId="0" xfId="0" applyAlignment="1">
      <alignment horizontal="justify" vertical="top"/>
    </xf>
    <xf numFmtId="0" fontId="0" fillId="0" borderId="7" xfId="9" applyFont="1" applyBorder="1" applyAlignment="1">
      <alignment horizontal="centerContinuous"/>
    </xf>
    <xf numFmtId="0" fontId="33" fillId="0" borderId="7" xfId="9" applyFont="1" applyBorder="1" applyAlignment="1">
      <alignment horizontal="centerContinuous"/>
    </xf>
    <xf numFmtId="0" fontId="33" fillId="0" borderId="13" xfId="9" applyFont="1" applyBorder="1" applyAlignment="1">
      <alignment horizontal="centerContinuous"/>
    </xf>
    <xf numFmtId="0" fontId="33" fillId="0" borderId="2" xfId="0" applyFont="1" applyBorder="1" applyAlignment="1">
      <alignment horizontal="center"/>
    </xf>
    <xf numFmtId="0" fontId="5" fillId="0" borderId="2" xfId="9" applyFont="1" applyBorder="1"/>
    <xf numFmtId="0" fontId="33" fillId="0" borderId="0" xfId="9" applyFont="1"/>
    <xf numFmtId="0" fontId="33" fillId="0" borderId="14" xfId="9" applyFont="1" applyBorder="1"/>
    <xf numFmtId="0" fontId="0" fillId="0" borderId="15" xfId="9" applyFont="1" applyBorder="1" applyAlignment="1">
      <alignment horizontal="center"/>
    </xf>
    <xf numFmtId="0" fontId="33" fillId="0" borderId="2" xfId="9" applyFont="1" applyBorder="1" applyAlignment="1">
      <alignment horizontal="center"/>
    </xf>
    <xf numFmtId="0" fontId="33" fillId="0" borderId="3" xfId="9" applyFont="1" applyBorder="1"/>
    <xf numFmtId="0" fontId="33" fillId="0" borderId="17" xfId="9" applyFont="1" applyBorder="1"/>
    <xf numFmtId="0" fontId="33" fillId="0" borderId="13" xfId="0" applyFont="1" applyBorder="1"/>
    <xf numFmtId="0" fontId="33" fillId="0" borderId="2" xfId="9" applyFont="1" applyBorder="1"/>
    <xf numFmtId="0" fontId="0" fillId="0" borderId="14" xfId="0" quotePrefix="1" applyBorder="1" applyAlignment="1">
      <alignment horizontal="right"/>
    </xf>
    <xf numFmtId="0" fontId="33" fillId="6" borderId="0" xfId="0" applyFont="1" applyFill="1"/>
    <xf numFmtId="0" fontId="33" fillId="0" borderId="16" xfId="9" applyFont="1" applyBorder="1"/>
    <xf numFmtId="0" fontId="33" fillId="6" borderId="3" xfId="0" applyFont="1" applyFill="1" applyBorder="1"/>
    <xf numFmtId="0" fontId="0" fillId="0" borderId="17" xfId="0" quotePrefix="1" applyBorder="1" applyAlignment="1">
      <alignment horizontal="right"/>
    </xf>
    <xf numFmtId="0" fontId="0" fillId="0" borderId="8" xfId="0" applyBorder="1"/>
    <xf numFmtId="0" fontId="0" fillId="0" borderId="8" xfId="0" applyBorder="1" applyAlignment="1">
      <alignment horizontal="center"/>
    </xf>
    <xf numFmtId="0" fontId="33" fillId="0" borderId="7" xfId="0" applyFont="1" applyBorder="1"/>
    <xf numFmtId="0" fontId="0" fillId="0" borderId="7" xfId="0" quotePrefix="1" applyBorder="1" applyAlignment="1">
      <alignment horizontal="right"/>
    </xf>
    <xf numFmtId="0" fontId="43" fillId="4" borderId="0" xfId="0" applyFont="1" applyFill="1" applyAlignment="1">
      <alignment vertical="center"/>
    </xf>
    <xf numFmtId="0" fontId="33" fillId="0" borderId="3" xfId="0" applyFont="1" applyBorder="1"/>
    <xf numFmtId="0" fontId="0" fillId="0" borderId="3" xfId="0" quotePrefix="1" applyBorder="1" applyAlignment="1">
      <alignment horizontal="right"/>
    </xf>
    <xf numFmtId="0" fontId="5" fillId="0" borderId="3" xfId="0" applyFont="1" applyBorder="1" applyAlignment="1">
      <alignment vertical="center"/>
    </xf>
    <xf numFmtId="0" fontId="5" fillId="0" borderId="12" xfId="0" applyFont="1" applyBorder="1" applyAlignment="1">
      <alignment vertical="center"/>
    </xf>
    <xf numFmtId="0" fontId="5" fillId="0" borderId="7" xfId="0" applyFont="1" applyBorder="1" applyAlignment="1">
      <alignment vertical="center"/>
    </xf>
    <xf numFmtId="0" fontId="5" fillId="0" borderId="2" xfId="0" applyFont="1" applyBorder="1" applyAlignment="1">
      <alignment vertical="center"/>
    </xf>
    <xf numFmtId="0" fontId="5" fillId="0" borderId="0" xfId="0" applyFont="1" applyAlignment="1">
      <alignment vertical="center"/>
    </xf>
    <xf numFmtId="0" fontId="44" fillId="0" borderId="0" xfId="0" applyFont="1" applyAlignment="1">
      <alignment vertical="center"/>
    </xf>
    <xf numFmtId="0" fontId="0" fillId="0" borderId="12" xfId="9" applyFont="1" applyBorder="1"/>
    <xf numFmtId="0" fontId="0" fillId="0" borderId="14" xfId="9" applyFont="1" applyBorder="1" applyAlignment="1">
      <alignment horizontal="center"/>
    </xf>
    <xf numFmtId="167" fontId="0" fillId="0" borderId="7" xfId="9" applyNumberFormat="1" applyFont="1" applyBorder="1"/>
    <xf numFmtId="37" fontId="0" fillId="4" borderId="10" xfId="9" applyNumberFormat="1" applyFont="1" applyFill="1" applyBorder="1"/>
    <xf numFmtId="38" fontId="0" fillId="0" borderId="0" xfId="9" applyNumberFormat="1" applyFont="1" applyAlignment="1">
      <alignment horizontal="right"/>
    </xf>
    <xf numFmtId="167" fontId="0" fillId="0" borderId="0" xfId="9" applyNumberFormat="1" applyFont="1"/>
    <xf numFmtId="167" fontId="0" fillId="0" borderId="0" xfId="9" applyNumberFormat="1" applyFont="1" applyAlignment="1">
      <alignment horizontal="left"/>
    </xf>
    <xf numFmtId="167" fontId="0" fillId="0" borderId="14" xfId="9" applyNumberFormat="1" applyFont="1" applyBorder="1"/>
    <xf numFmtId="37" fontId="0" fillId="8" borderId="5" xfId="9" applyNumberFormat="1" applyFont="1" applyFill="1" applyBorder="1"/>
    <xf numFmtId="167" fontId="0" fillId="0" borderId="17" xfId="9" applyNumberFormat="1" applyFont="1" applyBorder="1"/>
    <xf numFmtId="168" fontId="0" fillId="5" borderId="15" xfId="0" applyNumberFormat="1" applyFill="1" applyBorder="1" applyAlignment="1">
      <alignment horizontal="center"/>
    </xf>
    <xf numFmtId="168" fontId="0" fillId="5" borderId="0" xfId="0" applyNumberFormat="1" applyFill="1"/>
    <xf numFmtId="167" fontId="0" fillId="0" borderId="0" xfId="9" applyNumberFormat="1" applyFont="1" applyAlignment="1">
      <alignment horizontal="right"/>
    </xf>
    <xf numFmtId="168" fontId="0" fillId="5" borderId="2" xfId="0" applyNumberFormat="1" applyFill="1" applyBorder="1"/>
    <xf numFmtId="168" fontId="0" fillId="0" borderId="0" xfId="0" applyNumberFormat="1"/>
    <xf numFmtId="168" fontId="0" fillId="0" borderId="3" xfId="0" applyNumberFormat="1" applyBorder="1"/>
    <xf numFmtId="38" fontId="0" fillId="5" borderId="0" xfId="0" applyNumberFormat="1" applyFill="1"/>
    <xf numFmtId="168" fontId="0" fillId="5" borderId="7" xfId="0" applyNumberFormat="1" applyFill="1" applyBorder="1"/>
    <xf numFmtId="167" fontId="0" fillId="0" borderId="7" xfId="9" applyNumberFormat="1" applyFont="1" applyBorder="1" applyAlignment="1">
      <alignment horizontal="right"/>
    </xf>
    <xf numFmtId="38" fontId="0" fillId="5" borderId="10" xfId="0" applyNumberFormat="1" applyFill="1" applyBorder="1" applyAlignment="1">
      <alignment horizontal="right"/>
    </xf>
    <xf numFmtId="167" fontId="33" fillId="0" borderId="3" xfId="9" applyNumberFormat="1" applyFont="1" applyBorder="1" applyAlignment="1">
      <alignment horizontal="right"/>
    </xf>
    <xf numFmtId="38" fontId="0" fillId="5" borderId="5" xfId="0" applyNumberFormat="1" applyFill="1" applyBorder="1" applyAlignment="1">
      <alignment horizontal="center"/>
    </xf>
    <xf numFmtId="167" fontId="33" fillId="0" borderId="0" xfId="9" applyNumberFormat="1" applyFont="1" applyAlignment="1">
      <alignment horizontal="left"/>
    </xf>
    <xf numFmtId="168" fontId="33" fillId="5" borderId="12" xfId="0" applyNumberFormat="1" applyFont="1" applyFill="1" applyBorder="1"/>
    <xf numFmtId="168" fontId="0" fillId="0" borderId="7" xfId="0" applyNumberFormat="1" applyBorder="1"/>
    <xf numFmtId="167" fontId="0" fillId="0" borderId="13" xfId="9" applyNumberFormat="1" applyFont="1" applyBorder="1" applyAlignment="1">
      <alignment horizontal="right"/>
    </xf>
    <xf numFmtId="37" fontId="0" fillId="9" borderId="5" xfId="9" applyNumberFormat="1" applyFont="1" applyFill="1" applyBorder="1"/>
    <xf numFmtId="167" fontId="0" fillId="0" borderId="2" xfId="9" applyNumberFormat="1" applyFont="1" applyBorder="1" applyAlignment="1">
      <alignment horizontal="left"/>
    </xf>
    <xf numFmtId="168" fontId="33" fillId="5" borderId="2" xfId="0" applyNumberFormat="1" applyFont="1" applyFill="1" applyBorder="1"/>
    <xf numFmtId="167" fontId="0" fillId="0" borderId="14" xfId="9" applyNumberFormat="1" applyFont="1" applyBorder="1" applyAlignment="1">
      <alignment horizontal="right"/>
    </xf>
    <xf numFmtId="167" fontId="0" fillId="0" borderId="17" xfId="9" applyNumberFormat="1" applyFont="1" applyBorder="1" applyAlignment="1">
      <alignment horizontal="right"/>
    </xf>
    <xf numFmtId="3" fontId="0" fillId="0" borderId="0" xfId="0" applyNumberFormat="1" applyAlignment="1">
      <alignment horizontal="right"/>
    </xf>
    <xf numFmtId="3" fontId="0" fillId="0" borderId="0" xfId="0" applyNumberFormat="1"/>
    <xf numFmtId="0" fontId="0" fillId="0" borderId="0" xfId="0" applyAlignment="1">
      <alignment vertical="top"/>
    </xf>
    <xf numFmtId="0" fontId="0" fillId="0" borderId="13" xfId="0" applyBorder="1" applyAlignment="1">
      <alignment horizontal="center"/>
    </xf>
    <xf numFmtId="0" fontId="0" fillId="0" borderId="12" xfId="0" applyBorder="1" applyAlignment="1">
      <alignment horizontal="center"/>
    </xf>
    <xf numFmtId="0" fontId="0" fillId="0" borderId="15" xfId="0" applyBorder="1"/>
    <xf numFmtId="167" fontId="0" fillId="0" borderId="17" xfId="0" applyNumberFormat="1" applyBorder="1"/>
    <xf numFmtId="167" fontId="0" fillId="0" borderId="17" xfId="0" applyNumberFormat="1" applyBorder="1" applyAlignment="1">
      <alignment horizontal="center"/>
    </xf>
    <xf numFmtId="0" fontId="0" fillId="0" borderId="5" xfId="0" applyBorder="1" applyAlignment="1">
      <alignment horizontal="center" vertical="center"/>
    </xf>
    <xf numFmtId="0" fontId="0" fillId="0" borderId="3" xfId="0" applyBorder="1" applyAlignment="1">
      <alignment horizontal="center" vertical="center"/>
    </xf>
    <xf numFmtId="167" fontId="0" fillId="0" borderId="14" xfId="0" applyNumberFormat="1" applyBorder="1"/>
    <xf numFmtId="37" fontId="0" fillId="9" borderId="1" xfId="0" applyNumberFormat="1" applyFill="1" applyBorder="1"/>
    <xf numFmtId="37" fontId="0" fillId="9" borderId="10" xfId="0" applyNumberFormat="1" applyFill="1" applyBorder="1"/>
    <xf numFmtId="167" fontId="0" fillId="0" borderId="0" xfId="0" applyNumberFormat="1"/>
    <xf numFmtId="37" fontId="0" fillId="10" borderId="10" xfId="0" applyNumberFormat="1" applyFill="1" applyBorder="1"/>
    <xf numFmtId="37" fontId="0" fillId="4" borderId="10" xfId="0" applyNumberFormat="1" applyFill="1" applyBorder="1"/>
    <xf numFmtId="37" fontId="0" fillId="10" borderId="13" xfId="0" applyNumberFormat="1" applyFill="1" applyBorder="1"/>
    <xf numFmtId="37" fontId="0" fillId="10" borderId="15" xfId="0" applyNumberFormat="1" applyFill="1" applyBorder="1"/>
    <xf numFmtId="37" fontId="0" fillId="4" borderId="15" xfId="0" applyNumberFormat="1" applyFill="1" applyBorder="1"/>
    <xf numFmtId="37" fontId="0" fillId="10" borderId="14" xfId="0" applyNumberFormat="1" applyFill="1" applyBorder="1"/>
    <xf numFmtId="37" fontId="0" fillId="10" borderId="5" xfId="0" applyNumberFormat="1" applyFill="1" applyBorder="1"/>
    <xf numFmtId="37" fontId="0" fillId="10" borderId="17" xfId="0" applyNumberFormat="1" applyFill="1" applyBorder="1"/>
    <xf numFmtId="37" fontId="0" fillId="10" borderId="1" xfId="0" applyNumberFormat="1" applyFill="1" applyBorder="1"/>
    <xf numFmtId="37" fontId="0" fillId="9" borderId="9" xfId="0" applyNumberFormat="1" applyFill="1" applyBorder="1"/>
    <xf numFmtId="37" fontId="0" fillId="10" borderId="8" xfId="0" applyNumberFormat="1" applyFill="1" applyBorder="1"/>
    <xf numFmtId="37" fontId="0" fillId="9" borderId="3" xfId="0" applyNumberFormat="1" applyFill="1" applyBorder="1"/>
    <xf numFmtId="167" fontId="0" fillId="0" borderId="0" xfId="0" applyNumberFormat="1" applyAlignment="1">
      <alignment horizontal="left"/>
    </xf>
    <xf numFmtId="167" fontId="0" fillId="0" borderId="8" xfId="0" applyNumberFormat="1" applyBorder="1"/>
    <xf numFmtId="167" fontId="0" fillId="0" borderId="13" xfId="9" applyNumberFormat="1" applyFont="1" applyBorder="1"/>
    <xf numFmtId="37" fontId="0" fillId="9" borderId="5" xfId="0" applyNumberFormat="1" applyFill="1" applyBorder="1"/>
    <xf numFmtId="37" fontId="0" fillId="9" borderId="12" xfId="0" applyNumberFormat="1" applyFill="1" applyBorder="1"/>
    <xf numFmtId="37" fontId="0" fillId="9" borderId="2" xfId="0" applyNumberFormat="1" applyFill="1" applyBorder="1"/>
    <xf numFmtId="37" fontId="0" fillId="9" borderId="16" xfId="0" applyNumberFormat="1" applyFill="1" applyBorder="1"/>
    <xf numFmtId="37" fontId="50" fillId="4" borderId="10" xfId="0" applyNumberFormat="1" applyFont="1" applyFill="1" applyBorder="1"/>
    <xf numFmtId="49" fontId="0" fillId="0" borderId="3" xfId="0" applyNumberFormat="1" applyBorder="1" applyAlignment="1">
      <alignment horizontal="centerContinuous"/>
    </xf>
    <xf numFmtId="0" fontId="5" fillId="0" borderId="0" xfId="0" applyFont="1" applyAlignment="1">
      <alignment horizontal="centerContinuous"/>
    </xf>
    <xf numFmtId="37" fontId="50" fillId="0" borderId="3" xfId="0" applyNumberFormat="1" applyFont="1" applyBorder="1"/>
    <xf numFmtId="49" fontId="31" fillId="6" borderId="0" xfId="6" applyNumberFormat="1" applyFont="1" applyFill="1" applyProtection="1"/>
    <xf numFmtId="0" fontId="31" fillId="6" borderId="0" xfId="6" applyFont="1" applyFill="1" applyProtection="1"/>
    <xf numFmtId="49" fontId="0" fillId="6" borderId="0" xfId="6" applyNumberFormat="1" applyFont="1" applyFill="1" applyProtection="1"/>
    <xf numFmtId="0" fontId="0" fillId="6" borderId="0" xfId="6" applyFont="1" applyFill="1" applyProtection="1"/>
    <xf numFmtId="37" fontId="0" fillId="0" borderId="3" xfId="0" applyNumberFormat="1" applyBorder="1"/>
    <xf numFmtId="164" fontId="0" fillId="0" borderId="0" xfId="0" applyNumberFormat="1" applyAlignment="1">
      <alignment horizontal="center"/>
    </xf>
    <xf numFmtId="0" fontId="42" fillId="4" borderId="0" xfId="0" applyFont="1" applyFill="1"/>
    <xf numFmtId="0" fontId="0" fillId="0" borderId="0" xfId="0" quotePrefix="1"/>
    <xf numFmtId="37" fontId="50" fillId="0" borderId="11" xfId="0" applyNumberFormat="1" applyFont="1" applyBorder="1"/>
    <xf numFmtId="37" fontId="50" fillId="4" borderId="18" xfId="0" applyNumberFormat="1" applyFont="1" applyFill="1" applyBorder="1"/>
    <xf numFmtId="37" fontId="0" fillId="0" borderId="0" xfId="0" applyNumberFormat="1" applyAlignment="1">
      <alignment horizontal="right"/>
    </xf>
    <xf numFmtId="0" fontId="6" fillId="0" borderId="10" xfId="0" applyFont="1" applyBorder="1" applyAlignment="1">
      <alignment horizontal="center" wrapText="1"/>
    </xf>
    <xf numFmtId="0" fontId="6" fillId="0" borderId="15" xfId="0" applyFont="1" applyBorder="1" applyAlignment="1">
      <alignment horizontal="center" wrapText="1"/>
    </xf>
    <xf numFmtId="0" fontId="6" fillId="0" borderId="5" xfId="0" applyFont="1" applyBorder="1" applyAlignment="1">
      <alignment horizontal="center" wrapText="1"/>
    </xf>
    <xf numFmtId="37" fontId="50" fillId="4" borderId="11" xfId="0" applyNumberFormat="1" applyFont="1" applyFill="1" applyBorder="1"/>
    <xf numFmtId="0" fontId="59" fillId="6" borderId="0" xfId="6" applyFont="1" applyFill="1" applyProtection="1"/>
    <xf numFmtId="37" fontId="0" fillId="8" borderId="12" xfId="0" applyNumberFormat="1" applyFill="1" applyBorder="1"/>
    <xf numFmtId="37" fontId="0" fillId="8" borderId="7" xfId="0" applyNumberFormat="1" applyFill="1" applyBorder="1"/>
    <xf numFmtId="37" fontId="0" fillId="8" borderId="13" xfId="0" applyNumberFormat="1" applyFill="1" applyBorder="1"/>
    <xf numFmtId="37" fontId="0" fillId="8" borderId="10" xfId="0" applyNumberFormat="1" applyFill="1" applyBorder="1"/>
    <xf numFmtId="0" fontId="31" fillId="0" borderId="0" xfId="6" applyFont="1" applyProtection="1"/>
    <xf numFmtId="0" fontId="8" fillId="6" borderId="0" xfId="6" applyFill="1" applyProtection="1"/>
    <xf numFmtId="0" fontId="7" fillId="0" borderId="0" xfId="0" applyFont="1"/>
    <xf numFmtId="37" fontId="0" fillId="0" borderId="19" xfId="0" applyNumberFormat="1" applyBorder="1"/>
    <xf numFmtId="49" fontId="17" fillId="0" borderId="0" xfId="0" applyNumberFormat="1" applyFont="1" applyAlignment="1">
      <alignment horizontal="right"/>
    </xf>
    <xf numFmtId="3" fontId="50" fillId="0" borderId="4" xfId="0" applyNumberFormat="1" applyFont="1" applyBorder="1"/>
    <xf numFmtId="0" fontId="31" fillId="0" borderId="0" xfId="0" applyFont="1"/>
    <xf numFmtId="3" fontId="50" fillId="4" borderId="7" xfId="0" applyNumberFormat="1" applyFont="1" applyFill="1" applyBorder="1"/>
    <xf numFmtId="49" fontId="0" fillId="0" borderId="0" xfId="0" quotePrefix="1" applyNumberFormat="1" applyAlignment="1">
      <alignment horizontal="left"/>
    </xf>
    <xf numFmtId="168" fontId="0" fillId="0" borderId="0" xfId="0" applyNumberFormat="1" applyAlignment="1">
      <alignment horizontal="center"/>
    </xf>
    <xf numFmtId="171" fontId="50" fillId="4" borderId="19" xfId="0" applyNumberFormat="1" applyFont="1" applyFill="1" applyBorder="1"/>
    <xf numFmtId="0" fontId="14" fillId="0" borderId="0" xfId="0" applyFont="1"/>
    <xf numFmtId="0" fontId="50" fillId="0" borderId="7" xfId="0" applyFont="1" applyBorder="1"/>
    <xf numFmtId="49" fontId="0" fillId="0" borderId="0" xfId="0" applyNumberFormat="1"/>
    <xf numFmtId="0" fontId="31" fillId="0" borderId="0" xfId="6" applyFont="1" applyFill="1" applyProtection="1"/>
    <xf numFmtId="0" fontId="33" fillId="0" borderId="0" xfId="6" applyFont="1" applyFill="1" applyProtection="1"/>
    <xf numFmtId="0" fontId="12" fillId="6" borderId="1" xfId="6" applyFont="1" applyFill="1" applyBorder="1" applyAlignment="1" applyProtection="1">
      <alignment horizontal="center" wrapText="1"/>
    </xf>
    <xf numFmtId="0" fontId="12" fillId="6" borderId="10" xfId="6" applyFont="1" applyFill="1" applyBorder="1" applyAlignment="1" applyProtection="1">
      <alignment horizontal="center" wrapText="1"/>
    </xf>
    <xf numFmtId="37" fontId="0" fillId="0" borderId="20" xfId="0" applyNumberFormat="1" applyBorder="1"/>
    <xf numFmtId="37" fontId="0" fillId="0" borderId="18" xfId="0" applyNumberFormat="1" applyBorder="1"/>
    <xf numFmtId="0" fontId="0" fillId="0" borderId="14" xfId="0" applyBorder="1" applyAlignment="1">
      <alignment horizontal="center"/>
    </xf>
    <xf numFmtId="37" fontId="50" fillId="8" borderId="1" xfId="0" applyNumberFormat="1" applyFont="1" applyFill="1" applyBorder="1"/>
    <xf numFmtId="37" fontId="0" fillId="7" borderId="10" xfId="0" applyNumberFormat="1" applyFill="1" applyBorder="1"/>
    <xf numFmtId="0" fontId="0" fillId="4" borderId="0" xfId="6" applyFont="1" applyFill="1" applyProtection="1"/>
    <xf numFmtId="37" fontId="0" fillId="7" borderId="11" xfId="0" applyNumberFormat="1" applyFill="1" applyBorder="1"/>
    <xf numFmtId="37" fontId="0" fillId="7" borderId="18" xfId="0" applyNumberFormat="1" applyFill="1" applyBorder="1"/>
    <xf numFmtId="49" fontId="33" fillId="0" borderId="0" xfId="0" applyNumberFormat="1" applyFont="1" applyAlignment="1">
      <alignment horizontal="right"/>
    </xf>
    <xf numFmtId="49" fontId="33" fillId="0" borderId="0" xfId="0" applyNumberFormat="1" applyFont="1"/>
    <xf numFmtId="37" fontId="50" fillId="4" borderId="21" xfId="0" applyNumberFormat="1" applyFont="1" applyFill="1" applyBorder="1"/>
    <xf numFmtId="49" fontId="0" fillId="0" borderId="3" xfId="0" applyNumberFormat="1" applyBorder="1"/>
    <xf numFmtId="168" fontId="5" fillId="5" borderId="0" xfId="0" applyNumberFormat="1" applyFont="1" applyFill="1"/>
    <xf numFmtId="168" fontId="30" fillId="0" borderId="0" xfId="6" applyNumberFormat="1" applyFont="1" applyFill="1" applyProtection="1"/>
    <xf numFmtId="168" fontId="16" fillId="0" borderId="2" xfId="6" applyNumberFormat="1" applyFont="1" applyFill="1" applyBorder="1" applyProtection="1"/>
    <xf numFmtId="168" fontId="33" fillId="5" borderId="0" xfId="0" applyNumberFormat="1" applyFont="1" applyFill="1"/>
    <xf numFmtId="168" fontId="0" fillId="0" borderId="10" xfId="0" applyNumberFormat="1" applyBorder="1" applyAlignment="1">
      <alignment horizontal="center"/>
    </xf>
    <xf numFmtId="2" fontId="0" fillId="0" borderId="10" xfId="0" applyNumberFormat="1" applyBorder="1" applyAlignment="1">
      <alignment horizontal="center"/>
    </xf>
    <xf numFmtId="49" fontId="0" fillId="0" borderId="10" xfId="0" applyNumberFormat="1" applyBorder="1" applyAlignment="1">
      <alignment horizontal="center" wrapText="1"/>
    </xf>
    <xf numFmtId="49" fontId="31" fillId="6" borderId="0" xfId="0" applyNumberFormat="1" applyFont="1" applyFill="1" applyAlignment="1">
      <alignment horizontal="center" wrapText="1"/>
    </xf>
    <xf numFmtId="1" fontId="0" fillId="0" borderId="2" xfId="0" applyNumberFormat="1" applyBorder="1" applyAlignment="1">
      <alignment wrapText="1"/>
    </xf>
    <xf numFmtId="168" fontId="0" fillId="0" borderId="15" xfId="0" applyNumberFormat="1" applyBorder="1" applyAlignment="1">
      <alignment horizontal="center"/>
    </xf>
    <xf numFmtId="2" fontId="0" fillId="0" borderId="15" xfId="0" applyNumberFormat="1" applyBorder="1" applyAlignment="1">
      <alignment horizontal="center"/>
    </xf>
    <xf numFmtId="49" fontId="0" fillId="0" borderId="15" xfId="0" applyNumberFormat="1" applyBorder="1" applyAlignment="1">
      <alignment horizontal="center" wrapText="1"/>
    </xf>
    <xf numFmtId="1" fontId="33" fillId="0" borderId="2" xfId="0" applyNumberFormat="1" applyFont="1" applyBorder="1" applyAlignment="1">
      <alignment wrapText="1"/>
    </xf>
    <xf numFmtId="1" fontId="0" fillId="0" borderId="15" xfId="0" applyNumberFormat="1" applyBorder="1" applyAlignment="1">
      <alignment horizontal="center"/>
    </xf>
    <xf numFmtId="1" fontId="0" fillId="0" borderId="15" xfId="0" applyNumberFormat="1" applyBorder="1" applyAlignment="1">
      <alignment horizontal="center" wrapText="1"/>
    </xf>
    <xf numFmtId="2" fontId="31" fillId="6" borderId="0" xfId="6" applyNumberFormat="1" applyFont="1" applyFill="1" applyBorder="1" applyAlignment="1" applyProtection="1">
      <alignment horizontal="center"/>
    </xf>
    <xf numFmtId="168" fontId="5" fillId="0" borderId="0" xfId="0" applyNumberFormat="1" applyFont="1" applyAlignment="1">
      <alignment horizontal="left"/>
    </xf>
    <xf numFmtId="1" fontId="31" fillId="6" borderId="0" xfId="6" applyNumberFormat="1" applyFont="1" applyFill="1" applyBorder="1" applyAlignment="1" applyProtection="1">
      <alignment horizontal="center"/>
    </xf>
    <xf numFmtId="168" fontId="0" fillId="5" borderId="0" xfId="0" quotePrefix="1" applyNumberFormat="1" applyFill="1" applyAlignment="1">
      <alignment horizontal="right"/>
    </xf>
    <xf numFmtId="168" fontId="0" fillId="5" borderId="0" xfId="0" quotePrefix="1" applyNumberFormat="1" applyFill="1" applyAlignment="1">
      <alignment horizontal="left"/>
    </xf>
    <xf numFmtId="168" fontId="42" fillId="0" borderId="0" xfId="0" applyNumberFormat="1" applyFont="1"/>
    <xf numFmtId="37" fontId="0" fillId="0" borderId="10" xfId="9" applyNumberFormat="1" applyFont="1" applyBorder="1"/>
    <xf numFmtId="168" fontId="0" fillId="5" borderId="2" xfId="0" quotePrefix="1" applyNumberFormat="1" applyFill="1" applyBorder="1" applyAlignment="1">
      <alignment horizontal="left"/>
    </xf>
    <xf numFmtId="1" fontId="0" fillId="5" borderId="0" xfId="0" applyNumberFormat="1" applyFill="1" applyAlignment="1">
      <alignment horizontal="left"/>
    </xf>
    <xf numFmtId="49" fontId="0" fillId="5" borderId="0" xfId="0" quotePrefix="1" applyNumberFormat="1" applyFill="1" applyAlignment="1">
      <alignment horizontal="right"/>
    </xf>
    <xf numFmtId="49" fontId="0" fillId="5" borderId="2" xfId="0" quotePrefix="1" applyNumberFormat="1" applyFill="1" applyBorder="1" applyAlignment="1">
      <alignment horizontal="left"/>
    </xf>
    <xf numFmtId="166" fontId="0" fillId="5" borderId="0" xfId="0" applyNumberFormat="1" applyFill="1" applyAlignment="1">
      <alignment horizontal="left"/>
    </xf>
    <xf numFmtId="168" fontId="0" fillId="0" borderId="0" xfId="0" applyNumberFormat="1" applyAlignment="1">
      <alignment horizontal="left"/>
    </xf>
    <xf numFmtId="49" fontId="0" fillId="5" borderId="0" xfId="0" quotePrefix="1" applyNumberFormat="1" applyFill="1" applyAlignment="1">
      <alignment horizontal="left"/>
    </xf>
    <xf numFmtId="1" fontId="0" fillId="5" borderId="0" xfId="0" applyNumberFormat="1" applyFill="1"/>
    <xf numFmtId="1" fontId="0" fillId="0" borderId="0" xfId="0" applyNumberFormat="1"/>
    <xf numFmtId="168" fontId="33" fillId="0" borderId="0" xfId="0" applyNumberFormat="1" applyFont="1" applyAlignment="1">
      <alignment horizontal="left"/>
    </xf>
    <xf numFmtId="168" fontId="18" fillId="5" borderId="0" xfId="0" applyNumberFormat="1" applyFont="1" applyFill="1"/>
    <xf numFmtId="168" fontId="0" fillId="5" borderId="10" xfId="0" applyNumberFormat="1" applyFill="1" applyBorder="1" applyAlignment="1">
      <alignment horizontal="center"/>
    </xf>
    <xf numFmtId="168" fontId="31" fillId="6" borderId="10" xfId="0" applyNumberFormat="1" applyFont="1" applyFill="1" applyBorder="1"/>
    <xf numFmtId="168" fontId="34" fillId="5" borderId="0" xfId="0" applyNumberFormat="1" applyFont="1" applyFill="1"/>
    <xf numFmtId="168" fontId="31" fillId="6" borderId="0" xfId="6" applyNumberFormat="1" applyFont="1" applyFill="1" applyBorder="1" applyProtection="1"/>
    <xf numFmtId="49" fontId="18" fillId="5" borderId="0" xfId="0" applyNumberFormat="1" applyFont="1" applyFill="1" applyAlignment="1">
      <alignment horizontal="right"/>
    </xf>
    <xf numFmtId="168" fontId="31" fillId="6" borderId="15" xfId="0" applyNumberFormat="1" applyFont="1" applyFill="1" applyBorder="1"/>
    <xf numFmtId="49" fontId="0" fillId="5" borderId="0" xfId="0" applyNumberFormat="1" applyFill="1" applyAlignment="1">
      <alignment horizontal="right"/>
    </xf>
    <xf numFmtId="168" fontId="31" fillId="6" borderId="15" xfId="6" applyNumberFormat="1" applyFont="1" applyFill="1" applyBorder="1" applyAlignment="1" applyProtection="1">
      <alignment horizontal="center"/>
    </xf>
    <xf numFmtId="168" fontId="0" fillId="5" borderId="5" xfId="0" applyNumberFormat="1" applyFill="1" applyBorder="1" applyAlignment="1">
      <alignment horizontal="center"/>
    </xf>
    <xf numFmtId="168" fontId="31" fillId="6" borderId="5" xfId="6" applyNumberFormat="1" applyFont="1" applyFill="1" applyBorder="1" applyAlignment="1" applyProtection="1">
      <alignment horizontal="center"/>
    </xf>
    <xf numFmtId="168" fontId="0" fillId="5" borderId="14" xfId="0" quotePrefix="1" applyNumberFormat="1" applyFill="1" applyBorder="1" applyAlignment="1">
      <alignment horizontal="right"/>
    </xf>
    <xf numFmtId="49" fontId="0" fillId="5" borderId="0" xfId="0" applyNumberFormat="1" applyFill="1" applyAlignment="1">
      <alignment horizontal="left"/>
    </xf>
    <xf numFmtId="38" fontId="0" fillId="0" borderId="0" xfId="0" applyNumberFormat="1"/>
    <xf numFmtId="168" fontId="0" fillId="0" borderId="1" xfId="0" applyNumberFormat="1" applyBorder="1" applyAlignment="1">
      <alignment horizontal="center"/>
    </xf>
    <xf numFmtId="0" fontId="33" fillId="0" borderId="0" xfId="0" quotePrefix="1" applyFont="1" applyAlignment="1">
      <alignment horizontal="right"/>
    </xf>
    <xf numFmtId="1" fontId="0" fillId="5" borderId="0" xfId="0" applyNumberFormat="1" applyFill="1" applyAlignment="1">
      <alignment horizontal="center"/>
    </xf>
    <xf numFmtId="38" fontId="0" fillId="0" borderId="0" xfId="0" applyNumberFormat="1" applyAlignment="1">
      <alignment horizontal="center"/>
    </xf>
    <xf numFmtId="168" fontId="0" fillId="0" borderId="3" xfId="0" applyNumberFormat="1" applyBorder="1" applyAlignment="1">
      <alignment horizontal="center"/>
    </xf>
    <xf numFmtId="168" fontId="31" fillId="6" borderId="0" xfId="6" applyNumberFormat="1" applyFont="1" applyFill="1" applyProtection="1"/>
    <xf numFmtId="168" fontId="34" fillId="6" borderId="0" xfId="0" applyNumberFormat="1" applyFont="1" applyFill="1"/>
    <xf numFmtId="168" fontId="0" fillId="0" borderId="5" xfId="0" applyNumberFormat="1" applyBorder="1" applyAlignment="1">
      <alignment horizontal="center"/>
    </xf>
    <xf numFmtId="168" fontId="33" fillId="5" borderId="0" xfId="0" quotePrefix="1" applyNumberFormat="1" applyFont="1" applyFill="1" applyAlignment="1">
      <alignment horizontal="right"/>
    </xf>
    <xf numFmtId="49" fontId="29" fillId="5" borderId="0" xfId="0" applyNumberFormat="1" applyFont="1" applyFill="1" applyAlignment="1">
      <alignment horizontal="left"/>
    </xf>
    <xf numFmtId="168" fontId="34" fillId="0" borderId="0" xfId="0" applyNumberFormat="1" applyFont="1" applyAlignment="1">
      <alignment vertical="top" wrapText="1"/>
    </xf>
    <xf numFmtId="168" fontId="41" fillId="6" borderId="0" xfId="6" applyNumberFormat="1" applyFont="1" applyFill="1" applyProtection="1"/>
    <xf numFmtId="168" fontId="0" fillId="4" borderId="0" xfId="0" applyNumberFormat="1" applyFill="1"/>
    <xf numFmtId="168" fontId="0" fillId="5" borderId="0" xfId="0" quotePrefix="1" applyNumberFormat="1" applyFill="1"/>
    <xf numFmtId="168" fontId="0" fillId="5" borderId="0" xfId="0" applyNumberFormat="1" applyFill="1" applyAlignment="1">
      <alignment horizontal="right"/>
    </xf>
    <xf numFmtId="0" fontId="53" fillId="0" borderId="0" xfId="10" applyFont="1" applyAlignment="1">
      <alignment horizontal="right"/>
    </xf>
    <xf numFmtId="168" fontId="29" fillId="5" borderId="0" xfId="10" applyNumberFormat="1" applyFont="1" applyFill="1"/>
    <xf numFmtId="168" fontId="29" fillId="0" borderId="0" xfId="10" applyNumberFormat="1" applyFont="1"/>
    <xf numFmtId="0" fontId="0" fillId="0" borderId="3" xfId="11" applyFont="1" applyBorder="1" applyAlignment="1">
      <alignment horizontal="center"/>
    </xf>
    <xf numFmtId="0" fontId="29" fillId="0" borderId="0" xfId="10" applyFont="1" applyAlignment="1">
      <alignment horizontal="center"/>
    </xf>
    <xf numFmtId="168" fontId="53" fillId="5" borderId="0" xfId="10" applyNumberFormat="1" applyFont="1" applyFill="1" applyAlignment="1">
      <alignment horizontal="center"/>
    </xf>
    <xf numFmtId="168" fontId="5" fillId="5" borderId="0" xfId="10" applyNumberFormat="1" applyFont="1" applyFill="1" applyAlignment="1">
      <alignment horizontal="center"/>
    </xf>
    <xf numFmtId="168" fontId="33" fillId="5" borderId="0" xfId="10" applyNumberFormat="1" applyFont="1" applyFill="1"/>
    <xf numFmtId="168" fontId="33" fillId="0" borderId="0" xfId="10" applyNumberFormat="1" applyFont="1"/>
    <xf numFmtId="0" fontId="33" fillId="0" borderId="0" xfId="10" applyFont="1"/>
    <xf numFmtId="0" fontId="53" fillId="0" borderId="0" xfId="10" applyFont="1" applyAlignment="1">
      <alignment horizontal="left"/>
    </xf>
    <xf numFmtId="0" fontId="29" fillId="0" borderId="0" xfId="10" applyFont="1"/>
    <xf numFmtId="14" fontId="29" fillId="5" borderId="0" xfId="10" applyNumberFormat="1" applyFont="1" applyFill="1" applyAlignment="1">
      <alignment horizontal="left"/>
    </xf>
    <xf numFmtId="168" fontId="29" fillId="5" borderId="13" xfId="10" applyNumberFormat="1" applyFont="1" applyFill="1" applyBorder="1"/>
    <xf numFmtId="168" fontId="53" fillId="5" borderId="1" xfId="10" applyNumberFormat="1" applyFont="1" applyFill="1" applyBorder="1" applyAlignment="1">
      <alignment horizontal="center"/>
    </xf>
    <xf numFmtId="168" fontId="29" fillId="0" borderId="10" xfId="10" applyNumberFormat="1" applyFont="1" applyBorder="1" applyAlignment="1">
      <alignment horizontal="center"/>
    </xf>
    <xf numFmtId="2" fontId="29" fillId="0" borderId="10" xfId="10" applyNumberFormat="1" applyFont="1" applyBorder="1" applyAlignment="1">
      <alignment horizontal="center"/>
    </xf>
    <xf numFmtId="49" fontId="53" fillId="6" borderId="10" xfId="10" applyNumberFormat="1" applyFont="1" applyFill="1" applyBorder="1" applyAlignment="1">
      <alignment horizontal="center" wrapText="1"/>
    </xf>
    <xf numFmtId="168" fontId="29" fillId="0" borderId="15" xfId="10" applyNumberFormat="1" applyFont="1" applyBorder="1" applyAlignment="1">
      <alignment horizontal="center"/>
    </xf>
    <xf numFmtId="2" fontId="29" fillId="0" borderId="15" xfId="10" applyNumberFormat="1" applyFont="1" applyBorder="1" applyAlignment="1">
      <alignment horizontal="center"/>
    </xf>
    <xf numFmtId="49" fontId="29" fillId="0" borderId="15" xfId="10" applyNumberFormat="1" applyFont="1" applyBorder="1" applyAlignment="1">
      <alignment horizontal="center" wrapText="1"/>
    </xf>
    <xf numFmtId="49" fontId="53" fillId="6" borderId="15" xfId="10" applyNumberFormat="1" applyFont="1" applyFill="1" applyBorder="1" applyAlignment="1">
      <alignment horizontal="center" wrapText="1"/>
    </xf>
    <xf numFmtId="165" fontId="0" fillId="5" borderId="15" xfId="10" applyNumberFormat="1" applyFont="1" applyFill="1" applyBorder="1" applyAlignment="1">
      <alignment horizontal="center"/>
    </xf>
    <xf numFmtId="1" fontId="29" fillId="0" borderId="15" xfId="10" applyNumberFormat="1" applyFont="1" applyBorder="1" applyAlignment="1">
      <alignment horizontal="center"/>
    </xf>
    <xf numFmtId="0" fontId="12" fillId="6" borderId="0" xfId="6" applyFont="1" applyFill="1" applyAlignment="1" applyProtection="1">
      <alignment horizontal="center" vertical="center"/>
    </xf>
    <xf numFmtId="1" fontId="29" fillId="0" borderId="5" xfId="10" applyNumberFormat="1" applyFont="1" applyBorder="1" applyAlignment="1">
      <alignment horizontal="center"/>
    </xf>
    <xf numFmtId="165" fontId="0" fillId="5" borderId="5" xfId="10" applyNumberFormat="1" applyFont="1" applyFill="1" applyBorder="1" applyAlignment="1">
      <alignment horizontal="center"/>
    </xf>
    <xf numFmtId="168" fontId="29" fillId="5" borderId="12" xfId="10" applyNumberFormat="1" applyFont="1" applyFill="1" applyBorder="1" applyAlignment="1">
      <alignment horizontal="left"/>
    </xf>
    <xf numFmtId="168" fontId="29" fillId="5" borderId="7" xfId="10" applyNumberFormat="1" applyFont="1" applyFill="1" applyBorder="1" applyAlignment="1">
      <alignment horizontal="left"/>
    </xf>
    <xf numFmtId="168" fontId="29" fillId="5" borderId="13" xfId="10" quotePrefix="1" applyNumberFormat="1" applyFont="1" applyFill="1" applyBorder="1" applyAlignment="1">
      <alignment horizontal="right"/>
    </xf>
    <xf numFmtId="37" fontId="29" fillId="0" borderId="1" xfId="10" applyNumberFormat="1" applyFont="1" applyBorder="1" applyAlignment="1">
      <alignment horizontal="right" vertical="center"/>
    </xf>
    <xf numFmtId="37" fontId="29" fillId="8" borderId="1" xfId="10" applyNumberFormat="1" applyFont="1" applyFill="1" applyBorder="1" applyAlignment="1">
      <alignment horizontal="right" vertical="center"/>
    </xf>
    <xf numFmtId="37" fontId="53" fillId="0" borderId="1" xfId="10" applyNumberFormat="1" applyFont="1" applyBorder="1" applyAlignment="1">
      <alignment horizontal="right" vertical="center"/>
    </xf>
    <xf numFmtId="168" fontId="29" fillId="5" borderId="0" xfId="10" quotePrefix="1" applyNumberFormat="1" applyFont="1" applyFill="1" applyAlignment="1">
      <alignment horizontal="left"/>
    </xf>
    <xf numFmtId="168" fontId="29" fillId="5" borderId="2" xfId="10" applyNumberFormat="1" applyFont="1" applyFill="1" applyBorder="1" applyAlignment="1">
      <alignment horizontal="left"/>
    </xf>
    <xf numFmtId="168" fontId="29" fillId="5" borderId="14" xfId="10" quotePrefix="1" applyNumberFormat="1" applyFont="1" applyFill="1" applyBorder="1" applyAlignment="1">
      <alignment horizontal="right"/>
    </xf>
    <xf numFmtId="37" fontId="0" fillId="0" borderId="1" xfId="10" applyNumberFormat="1" applyFont="1" applyBorder="1" applyAlignment="1">
      <alignment horizontal="right" vertical="center"/>
    </xf>
    <xf numFmtId="168" fontId="33" fillId="11" borderId="0" xfId="10" applyNumberFormat="1" applyFont="1" applyFill="1"/>
    <xf numFmtId="1" fontId="29" fillId="5" borderId="2" xfId="10" applyNumberFormat="1" applyFont="1" applyFill="1" applyBorder="1" applyAlignment="1">
      <alignment horizontal="left"/>
    </xf>
    <xf numFmtId="1" fontId="29" fillId="5" borderId="0" xfId="10" applyNumberFormat="1" applyFont="1" applyFill="1" applyAlignment="1">
      <alignment horizontal="left"/>
    </xf>
    <xf numFmtId="49" fontId="29" fillId="5" borderId="14" xfId="10" quotePrefix="1" applyNumberFormat="1" applyFont="1" applyFill="1" applyBorder="1" applyAlignment="1">
      <alignment horizontal="right"/>
    </xf>
    <xf numFmtId="49" fontId="29" fillId="5" borderId="0" xfId="10" quotePrefix="1" applyNumberFormat="1" applyFont="1" applyFill="1" applyAlignment="1">
      <alignment horizontal="left"/>
    </xf>
    <xf numFmtId="168" fontId="29" fillId="0" borderId="2" xfId="10" applyNumberFormat="1" applyFont="1" applyBorder="1" applyAlignment="1">
      <alignment horizontal="left"/>
    </xf>
    <xf numFmtId="168" fontId="29" fillId="0" borderId="0" xfId="10" applyNumberFormat="1" applyFont="1" applyAlignment="1">
      <alignment horizontal="left"/>
    </xf>
    <xf numFmtId="0" fontId="52" fillId="6" borderId="2" xfId="6" applyFont="1" applyFill="1" applyBorder="1" applyProtection="1"/>
    <xf numFmtId="168" fontId="29" fillId="6" borderId="0" xfId="10" applyNumberFormat="1" applyFont="1" applyFill="1" applyAlignment="1">
      <alignment horizontal="left"/>
    </xf>
    <xf numFmtId="49" fontId="29" fillId="6" borderId="14" xfId="10" quotePrefix="1" applyNumberFormat="1" applyFont="1" applyFill="1" applyBorder="1" applyAlignment="1">
      <alignment horizontal="right"/>
    </xf>
    <xf numFmtId="168" fontId="29" fillId="0" borderId="16" xfId="10" applyNumberFormat="1" applyFont="1" applyBorder="1" applyAlignment="1">
      <alignment horizontal="left"/>
    </xf>
    <xf numFmtId="168" fontId="29" fillId="0" borderId="3" xfId="10" applyNumberFormat="1" applyFont="1" applyBorder="1" applyAlignment="1">
      <alignment horizontal="left"/>
    </xf>
    <xf numFmtId="49" fontId="29" fillId="5" borderId="17" xfId="10" quotePrefix="1" applyNumberFormat="1" applyFont="1" applyFill="1" applyBorder="1" applyAlignment="1">
      <alignment horizontal="right"/>
    </xf>
    <xf numFmtId="37" fontId="53" fillId="0" borderId="1" xfId="10" applyNumberFormat="1" applyFont="1" applyBorder="1"/>
    <xf numFmtId="49" fontId="29" fillId="5" borderId="0" xfId="10" quotePrefix="1" applyNumberFormat="1" applyFont="1" applyFill="1" applyAlignment="1">
      <alignment horizontal="right"/>
    </xf>
    <xf numFmtId="0" fontId="55" fillId="6" borderId="9" xfId="6" applyFont="1" applyFill="1" applyBorder="1" applyProtection="1"/>
    <xf numFmtId="0" fontId="5" fillId="6" borderId="4" xfId="10" applyFont="1" applyFill="1" applyBorder="1"/>
    <xf numFmtId="0" fontId="5" fillId="6" borderId="8" xfId="10" applyFont="1" applyFill="1" applyBorder="1"/>
    <xf numFmtId="168" fontId="53" fillId="5" borderId="9" xfId="10" applyNumberFormat="1" applyFont="1" applyFill="1" applyBorder="1"/>
    <xf numFmtId="168" fontId="53" fillId="5" borderId="4" xfId="10" applyNumberFormat="1" applyFont="1" applyFill="1" applyBorder="1"/>
    <xf numFmtId="168" fontId="29" fillId="5" borderId="8" xfId="10" applyNumberFormat="1" applyFont="1" applyFill="1" applyBorder="1" applyAlignment="1">
      <alignment horizontal="center"/>
    </xf>
    <xf numFmtId="168" fontId="29" fillId="5" borderId="16" xfId="10" applyNumberFormat="1" applyFont="1" applyFill="1" applyBorder="1"/>
    <xf numFmtId="168" fontId="29" fillId="5" borderId="3" xfId="10" applyNumberFormat="1" applyFont="1" applyFill="1" applyBorder="1"/>
    <xf numFmtId="168" fontId="29" fillId="5" borderId="17" xfId="10" applyNumberFormat="1" applyFont="1" applyFill="1" applyBorder="1"/>
    <xf numFmtId="168" fontId="29" fillId="5" borderId="9" xfId="10" applyNumberFormat="1" applyFont="1" applyFill="1" applyBorder="1"/>
    <xf numFmtId="168" fontId="29" fillId="5" borderId="4" xfId="10" applyNumberFormat="1" applyFont="1" applyFill="1" applyBorder="1"/>
    <xf numFmtId="168" fontId="29" fillId="5" borderId="8" xfId="10" applyNumberFormat="1" applyFont="1" applyFill="1" applyBorder="1"/>
    <xf numFmtId="0" fontId="29" fillId="0" borderId="9" xfId="10" applyFont="1" applyBorder="1"/>
    <xf numFmtId="0" fontId="29" fillId="0" borderId="4" xfId="10" applyFont="1" applyBorder="1"/>
    <xf numFmtId="168" fontId="29" fillId="0" borderId="8" xfId="10" applyNumberFormat="1" applyFont="1" applyBorder="1"/>
    <xf numFmtId="37" fontId="29" fillId="5" borderId="1" xfId="10" applyNumberFormat="1" applyFont="1" applyFill="1" applyBorder="1"/>
    <xf numFmtId="168" fontId="29" fillId="0" borderId="9" xfId="10" applyNumberFormat="1" applyFont="1" applyBorder="1"/>
    <xf numFmtId="168" fontId="29" fillId="0" borderId="4" xfId="10" applyNumberFormat="1" applyFont="1" applyBorder="1"/>
    <xf numFmtId="168" fontId="29" fillId="5" borderId="12" xfId="10" applyNumberFormat="1" applyFont="1" applyFill="1" applyBorder="1"/>
    <xf numFmtId="168" fontId="29" fillId="5" borderId="7" xfId="10" applyNumberFormat="1" applyFont="1" applyFill="1" applyBorder="1"/>
    <xf numFmtId="168" fontId="29" fillId="0" borderId="13" xfId="10" applyNumberFormat="1" applyFont="1" applyBorder="1"/>
    <xf numFmtId="0" fontId="52" fillId="6" borderId="9" xfId="6" applyFont="1" applyFill="1" applyBorder="1" applyProtection="1"/>
    <xf numFmtId="168" fontId="29" fillId="6" borderId="4" xfId="10" applyNumberFormat="1" applyFont="1" applyFill="1" applyBorder="1"/>
    <xf numFmtId="168" fontId="29" fillId="6" borderId="8" xfId="10" applyNumberFormat="1" applyFont="1" applyFill="1" applyBorder="1"/>
    <xf numFmtId="38" fontId="29" fillId="0" borderId="0" xfId="10" applyNumberFormat="1" applyFont="1" applyAlignment="1">
      <alignment horizontal="right" vertical="center"/>
    </xf>
    <xf numFmtId="168" fontId="29" fillId="5" borderId="0" xfId="10" quotePrefix="1" applyNumberFormat="1" applyFont="1" applyFill="1"/>
    <xf numFmtId="168" fontId="29" fillId="5" borderId="9" xfId="10" quotePrefix="1" applyNumberFormat="1" applyFont="1" applyFill="1" applyBorder="1"/>
    <xf numFmtId="37" fontId="29" fillId="0" borderId="1" xfId="10" applyNumberFormat="1" applyFont="1" applyBorder="1" applyAlignment="1">
      <alignment horizontal="right"/>
    </xf>
    <xf numFmtId="0" fontId="29" fillId="0" borderId="0" xfId="4" quotePrefix="1" applyNumberFormat="1" applyFont="1" applyFill="1" applyBorder="1" applyAlignment="1" applyProtection="1">
      <alignment horizontal="left"/>
    </xf>
    <xf numFmtId="168" fontId="29" fillId="0" borderId="0" xfId="10" applyNumberFormat="1" applyFont="1" applyAlignment="1">
      <alignment wrapText="1"/>
    </xf>
    <xf numFmtId="0" fontId="44" fillId="0" borderId="0" xfId="4" quotePrefix="1" applyNumberFormat="1" applyFont="1" applyFill="1" applyBorder="1" applyAlignment="1" applyProtection="1">
      <alignment vertical="center" wrapText="1"/>
    </xf>
    <xf numFmtId="168" fontId="44" fillId="4" borderId="0" xfId="10" applyNumberFormat="1" applyFont="1" applyFill="1" applyAlignment="1">
      <alignment vertical="center" wrapText="1"/>
    </xf>
    <xf numFmtId="168" fontId="44" fillId="0" borderId="0" xfId="10" applyNumberFormat="1" applyFont="1" applyAlignment="1">
      <alignment wrapText="1"/>
    </xf>
    <xf numFmtId="37" fontId="53" fillId="0" borderId="1" xfId="10" applyNumberFormat="1" applyFont="1" applyBorder="1" applyAlignment="1">
      <alignment horizontal="right"/>
    </xf>
    <xf numFmtId="168" fontId="29" fillId="0" borderId="0" xfId="10" applyNumberFormat="1" applyFont="1" applyAlignment="1">
      <alignment horizontal="right"/>
    </xf>
    <xf numFmtId="0" fontId="0" fillId="0" borderId="0" xfId="10" applyFont="1" applyAlignment="1">
      <alignment vertical="top"/>
    </xf>
    <xf numFmtId="0" fontId="33" fillId="0" borderId="0" xfId="10" applyFont="1" applyAlignment="1">
      <alignment vertical="top"/>
    </xf>
    <xf numFmtId="37" fontId="29" fillId="0" borderId="1" xfId="4" applyNumberFormat="1" applyFont="1" applyBorder="1" applyProtection="1">
      <protection locked="0"/>
    </xf>
    <xf numFmtId="172" fontId="29" fillId="0" borderId="1" xfId="4" applyNumberFormat="1" applyFont="1" applyBorder="1" applyProtection="1">
      <protection locked="0"/>
    </xf>
    <xf numFmtId="37" fontId="29" fillId="0" borderId="1" xfId="4" applyNumberFormat="1" applyFont="1" applyBorder="1" applyProtection="1"/>
    <xf numFmtId="0" fontId="5" fillId="0" borderId="0" xfId="13" applyFont="1"/>
    <xf numFmtId="0" fontId="64" fillId="0" borderId="0" xfId="13"/>
    <xf numFmtId="168" fontId="5" fillId="5" borderId="0" xfId="13" applyNumberFormat="1" applyFont="1" applyFill="1" applyAlignment="1">
      <alignment horizontal="left"/>
    </xf>
    <xf numFmtId="0" fontId="12" fillId="6" borderId="0" xfId="6" applyFont="1" applyFill="1" applyAlignment="1" applyProtection="1">
      <alignment horizontal="right"/>
    </xf>
    <xf numFmtId="0" fontId="64" fillId="0" borderId="0" xfId="13" applyAlignment="1">
      <alignment horizontal="right" vertical="center"/>
    </xf>
    <xf numFmtId="37" fontId="27" fillId="5" borderId="0" xfId="13" applyNumberFormat="1" applyFont="1" applyFill="1" applyAlignment="1">
      <alignment horizontal="left" vertical="center"/>
    </xf>
    <xf numFmtId="168" fontId="64" fillId="5" borderId="22" xfId="13" applyNumberFormat="1" applyFill="1" applyBorder="1"/>
    <xf numFmtId="168" fontId="64" fillId="6" borderId="22" xfId="13" applyNumberFormat="1" applyFill="1" applyBorder="1"/>
    <xf numFmtId="168" fontId="52" fillId="6" borderId="22" xfId="6" applyNumberFormat="1" applyFont="1" applyFill="1" applyBorder="1" applyAlignment="1" applyProtection="1">
      <alignment horizontal="center"/>
    </xf>
    <xf numFmtId="37" fontId="48" fillId="0" borderId="23" xfId="13" applyNumberFormat="1" applyFont="1" applyBorder="1" applyAlignment="1">
      <alignment horizontal="center"/>
    </xf>
    <xf numFmtId="37" fontId="48" fillId="0" borderId="10" xfId="13" applyNumberFormat="1" applyFont="1" applyBorder="1" applyAlignment="1">
      <alignment horizontal="center"/>
    </xf>
    <xf numFmtId="37" fontId="48" fillId="5" borderId="24" xfId="13" applyNumberFormat="1" applyFont="1" applyFill="1" applyBorder="1" applyAlignment="1">
      <alignment horizontal="center"/>
    </xf>
    <xf numFmtId="37" fontId="48" fillId="5" borderId="25" xfId="13" applyNumberFormat="1" applyFont="1" applyFill="1" applyBorder="1" applyAlignment="1">
      <alignment horizontal="left"/>
    </xf>
    <xf numFmtId="37" fontId="52" fillId="6" borderId="25" xfId="6" applyNumberFormat="1" applyFont="1" applyFill="1" applyBorder="1" applyAlignment="1" applyProtection="1">
      <alignment horizontal="center" vertical="center"/>
    </xf>
    <xf numFmtId="37" fontId="52" fillId="6" borderId="25" xfId="6" applyNumberFormat="1" applyFont="1" applyFill="1" applyBorder="1" applyAlignment="1" applyProtection="1">
      <alignment horizontal="center"/>
    </xf>
    <xf numFmtId="38" fontId="48" fillId="0" borderId="26" xfId="13" applyNumberFormat="1" applyFont="1" applyBorder="1" applyAlignment="1">
      <alignment horizontal="center"/>
    </xf>
    <xf numFmtId="37" fontId="48" fillId="0" borderId="15" xfId="13" applyNumberFormat="1" applyFont="1" applyBorder="1" applyAlignment="1">
      <alignment horizontal="center"/>
    </xf>
    <xf numFmtId="37" fontId="48" fillId="5" borderId="15" xfId="13" applyNumberFormat="1" applyFont="1" applyFill="1" applyBorder="1" applyAlignment="1">
      <alignment horizontal="center"/>
    </xf>
    <xf numFmtId="37" fontId="48" fillId="5" borderId="27" xfId="13" applyNumberFormat="1" applyFont="1" applyFill="1" applyBorder="1" applyAlignment="1">
      <alignment horizontal="center"/>
    </xf>
    <xf numFmtId="38" fontId="52" fillId="6" borderId="28" xfId="6" applyNumberFormat="1" applyFont="1" applyFill="1" applyBorder="1" applyAlignment="1" applyProtection="1">
      <alignment horizontal="center" vertical="center"/>
    </xf>
    <xf numFmtId="38" fontId="52" fillId="6" borderId="28" xfId="6" applyNumberFormat="1" applyFont="1" applyFill="1" applyBorder="1" applyAlignment="1" applyProtection="1">
      <alignment horizontal="center"/>
    </xf>
    <xf numFmtId="38" fontId="48" fillId="0" borderId="29" xfId="13" applyNumberFormat="1" applyFont="1" applyBorder="1" applyAlignment="1">
      <alignment horizontal="center"/>
    </xf>
    <xf numFmtId="37" fontId="48" fillId="0" borderId="5" xfId="13" applyNumberFormat="1" applyFont="1" applyBorder="1" applyAlignment="1">
      <alignment horizontal="center"/>
    </xf>
    <xf numFmtId="38" fontId="48" fillId="5" borderId="5" xfId="13" applyNumberFormat="1" applyFont="1" applyFill="1" applyBorder="1" applyAlignment="1">
      <alignment horizontal="center"/>
    </xf>
    <xf numFmtId="37" fontId="48" fillId="5" borderId="29" xfId="13" applyNumberFormat="1" applyFont="1" applyFill="1" applyBorder="1" applyAlignment="1">
      <alignment horizontal="left"/>
    </xf>
    <xf numFmtId="37" fontId="48" fillId="7" borderId="1" xfId="13" applyNumberFormat="1" applyFont="1" applyFill="1" applyBorder="1"/>
    <xf numFmtId="37" fontId="48" fillId="7" borderId="5" xfId="13" applyNumberFormat="1" applyFont="1" applyFill="1" applyBorder="1"/>
    <xf numFmtId="37" fontId="48" fillId="7" borderId="16" xfId="13" applyNumberFormat="1" applyFont="1" applyFill="1" applyBorder="1"/>
    <xf numFmtId="37" fontId="49" fillId="8" borderId="9" xfId="13" applyNumberFormat="1" applyFont="1" applyFill="1" applyBorder="1" applyAlignment="1">
      <alignment horizontal="center"/>
    </xf>
    <xf numFmtId="37" fontId="48" fillId="5" borderId="24" xfId="13" applyNumberFormat="1" applyFont="1" applyFill="1" applyBorder="1"/>
    <xf numFmtId="37" fontId="48" fillId="5" borderId="13" xfId="13" applyNumberFormat="1" applyFont="1" applyFill="1" applyBorder="1"/>
    <xf numFmtId="37" fontId="49" fillId="8" borderId="8" xfId="13" applyNumberFormat="1" applyFont="1" applyFill="1" applyBorder="1" applyAlignment="1">
      <alignment horizontal="center"/>
    </xf>
    <xf numFmtId="37" fontId="48" fillId="7" borderId="9" xfId="13" applyNumberFormat="1" applyFont="1" applyFill="1" applyBorder="1"/>
    <xf numFmtId="37" fontId="48" fillId="5" borderId="30" xfId="13" applyNumberFormat="1" applyFont="1" applyFill="1" applyBorder="1"/>
    <xf numFmtId="165" fontId="64" fillId="0" borderId="0" xfId="13" applyNumberFormat="1"/>
    <xf numFmtId="37" fontId="48" fillId="0" borderId="24" xfId="13" applyNumberFormat="1" applyFont="1" applyBorder="1"/>
    <xf numFmtId="37" fontId="48" fillId="5" borderId="26" xfId="13" applyNumberFormat="1" applyFont="1" applyFill="1" applyBorder="1" applyAlignment="1">
      <alignment horizontal="left"/>
    </xf>
    <xf numFmtId="37" fontId="48" fillId="7" borderId="10" xfId="13" applyNumberFormat="1" applyFont="1" applyFill="1" applyBorder="1"/>
    <xf numFmtId="37" fontId="48" fillId="7" borderId="12" xfId="13" applyNumberFormat="1" applyFont="1" applyFill="1" applyBorder="1"/>
    <xf numFmtId="37" fontId="48" fillId="0" borderId="31" xfId="13" applyNumberFormat="1" applyFont="1" applyBorder="1"/>
    <xf numFmtId="37" fontId="48" fillId="5" borderId="32" xfId="13" applyNumberFormat="1" applyFont="1" applyFill="1" applyBorder="1"/>
    <xf numFmtId="42" fontId="64" fillId="5" borderId="3" xfId="13" applyNumberFormat="1" applyFill="1" applyBorder="1"/>
    <xf numFmtId="37" fontId="48" fillId="0" borderId="1" xfId="13" applyNumberFormat="1" applyFont="1" applyBorder="1" applyAlignment="1">
      <alignment horizontal="left"/>
    </xf>
    <xf numFmtId="37" fontId="49" fillId="8" borderId="1" xfId="13" applyNumberFormat="1" applyFont="1" applyFill="1" applyBorder="1" applyAlignment="1">
      <alignment horizontal="center"/>
    </xf>
    <xf numFmtId="37" fontId="48" fillId="0" borderId="17" xfId="13" applyNumberFormat="1" applyFont="1" applyBorder="1"/>
    <xf numFmtId="37" fontId="48" fillId="5" borderId="16" xfId="13" applyNumberFormat="1" applyFont="1" applyFill="1" applyBorder="1"/>
    <xf numFmtId="37" fontId="48" fillId="7" borderId="1" xfId="13" applyNumberFormat="1" applyFont="1" applyFill="1" applyBorder="1" applyAlignment="1">
      <alignment horizontal="center"/>
    </xf>
    <xf numFmtId="37" fontId="48" fillId="0" borderId="9" xfId="13" applyNumberFormat="1" applyFont="1" applyBorder="1" applyAlignment="1">
      <alignment horizontal="left"/>
    </xf>
    <xf numFmtId="37" fontId="48" fillId="0" borderId="1" xfId="13" applyNumberFormat="1" applyFont="1" applyBorder="1"/>
    <xf numFmtId="37" fontId="48" fillId="5" borderId="1" xfId="13" applyNumberFormat="1" applyFont="1" applyFill="1" applyBorder="1"/>
    <xf numFmtId="37" fontId="48" fillId="0" borderId="8" xfId="13" applyNumberFormat="1" applyFont="1" applyBorder="1"/>
    <xf numFmtId="37" fontId="48" fillId="5" borderId="9" xfId="13" applyNumberFormat="1" applyFont="1" applyFill="1" applyBorder="1"/>
    <xf numFmtId="37" fontId="48" fillId="5" borderId="8" xfId="13" applyNumberFormat="1" applyFont="1" applyFill="1" applyBorder="1"/>
    <xf numFmtId="37" fontId="48" fillId="0" borderId="1" xfId="13" applyNumberFormat="1" applyFont="1" applyBorder="1" applyProtection="1">
      <protection locked="0"/>
    </xf>
    <xf numFmtId="0" fontId="0" fillId="0" borderId="0" xfId="11" applyFont="1" applyAlignment="1">
      <alignment horizontal="center"/>
    </xf>
    <xf numFmtId="0" fontId="29" fillId="0" borderId="0" xfId="8" applyFont="1"/>
    <xf numFmtId="37" fontId="29" fillId="0" borderId="0" xfId="8" applyNumberFormat="1" applyFont="1"/>
    <xf numFmtId="0" fontId="53" fillId="0" borderId="0" xfId="8" applyFont="1" applyAlignment="1">
      <alignment horizontal="right"/>
    </xf>
    <xf numFmtId="0" fontId="0" fillId="0" borderId="0" xfId="4" applyNumberFormat="1" applyFont="1" applyBorder="1" applyAlignment="1" applyProtection="1">
      <alignment horizontal="left" vertical="top"/>
    </xf>
    <xf numFmtId="37" fontId="29" fillId="0" borderId="0" xfId="8" applyNumberFormat="1" applyFont="1" applyAlignment="1">
      <alignment horizontal="left"/>
    </xf>
    <xf numFmtId="0" fontId="33" fillId="0" borderId="0" xfId="8" applyFont="1"/>
    <xf numFmtId="37" fontId="53" fillId="0" borderId="0" xfId="8" applyNumberFormat="1" applyFont="1" applyAlignment="1">
      <alignment horizontal="left"/>
    </xf>
    <xf numFmtId="0" fontId="53" fillId="12" borderId="1" xfId="0" applyFont="1" applyFill="1" applyBorder="1" applyAlignment="1">
      <alignment horizontal="center" wrapText="1"/>
    </xf>
    <xf numFmtId="0" fontId="53" fillId="0" borderId="0" xfId="0" applyFont="1" applyAlignment="1">
      <alignment horizontal="left" vertical="top"/>
    </xf>
    <xf numFmtId="0" fontId="53" fillId="0" borderId="0" xfId="0" applyFont="1" applyAlignment="1">
      <alignment wrapText="1"/>
    </xf>
    <xf numFmtId="168" fontId="12" fillId="6" borderId="0" xfId="6" quotePrefix="1" applyNumberFormat="1" applyFont="1" applyFill="1" applyAlignment="1" applyProtection="1">
      <alignment horizontal="right"/>
    </xf>
    <xf numFmtId="0" fontId="0" fillId="0" borderId="0" xfId="0" applyAlignment="1">
      <alignment horizontal="left" vertical="top"/>
    </xf>
    <xf numFmtId="0" fontId="5" fillId="0" borderId="0" xfId="0" quotePrefix="1" applyFont="1" applyAlignment="1">
      <alignment horizontal="left"/>
    </xf>
    <xf numFmtId="0" fontId="56" fillId="0" borderId="0" xfId="0" applyFont="1"/>
    <xf numFmtId="49" fontId="29" fillId="0" borderId="0" xfId="6" applyNumberFormat="1" applyFont="1" applyFill="1" applyAlignment="1" applyProtection="1">
      <alignment horizontal="center" vertical="top"/>
    </xf>
    <xf numFmtId="0" fontId="53" fillId="0" borderId="0" xfId="0" applyFont="1" applyAlignment="1">
      <alignment horizontal="center" wrapText="1"/>
    </xf>
    <xf numFmtId="49" fontId="12" fillId="0" borderId="0" xfId="6" applyNumberFormat="1" applyFont="1" applyFill="1" applyAlignment="1" applyProtection="1">
      <alignment horizontal="center" vertical="top"/>
    </xf>
    <xf numFmtId="0" fontId="0" fillId="0" borderId="0" xfId="0" applyAlignment="1">
      <alignment vertical="top" wrapText="1"/>
    </xf>
    <xf numFmtId="0" fontId="0" fillId="0" borderId="0" xfId="0" applyAlignment="1">
      <alignment horizontal="right" vertical="top"/>
    </xf>
    <xf numFmtId="170" fontId="0" fillId="0" borderId="0" xfId="2" applyNumberFormat="1" applyFont="1" applyFill="1" applyBorder="1" applyAlignment="1" applyProtection="1">
      <alignment vertical="top"/>
    </xf>
    <xf numFmtId="0" fontId="0" fillId="0" borderId="0" xfId="0" quotePrefix="1" applyAlignment="1">
      <alignment horizontal="center"/>
    </xf>
    <xf numFmtId="0" fontId="0" fillId="0" borderId="1" xfId="0" applyBorder="1" applyAlignment="1" applyProtection="1">
      <alignment horizontal="center" vertical="center"/>
      <protection locked="0"/>
    </xf>
    <xf numFmtId="0" fontId="10" fillId="0" borderId="0" xfId="0" applyFont="1" applyAlignment="1">
      <alignment vertical="top"/>
    </xf>
    <xf numFmtId="0" fontId="45" fillId="0" borderId="0" xfId="0" applyFont="1" applyAlignment="1">
      <alignment vertical="top" wrapText="1"/>
    </xf>
    <xf numFmtId="0" fontId="0" fillId="0" borderId="0" xfId="0" applyAlignment="1">
      <alignment vertical="center" wrapText="1"/>
    </xf>
    <xf numFmtId="0" fontId="19" fillId="0" borderId="1" xfId="6" applyFont="1" applyBorder="1" applyProtection="1"/>
    <xf numFmtId="0" fontId="37" fillId="0" borderId="1" xfId="7" applyFont="1" applyBorder="1" applyAlignment="1">
      <alignment horizontal="left"/>
    </xf>
    <xf numFmtId="0" fontId="37" fillId="0" borderId="0" xfId="7" applyFont="1"/>
    <xf numFmtId="0" fontId="36" fillId="0" borderId="1" xfId="7" applyFont="1" applyBorder="1"/>
    <xf numFmtId="49" fontId="37" fillId="0" borderId="1" xfId="7" applyNumberFormat="1" applyFont="1" applyBorder="1" applyAlignment="1">
      <alignment horizontal="left"/>
    </xf>
    <xf numFmtId="0" fontId="36" fillId="0" borderId="1" xfId="7" applyFont="1" applyBorder="1" applyAlignment="1">
      <alignment horizontal="center"/>
    </xf>
    <xf numFmtId="0" fontId="19" fillId="0" borderId="1" xfId="7" applyFont="1" applyBorder="1" applyAlignment="1">
      <alignment horizontal="center"/>
    </xf>
    <xf numFmtId="0" fontId="19" fillId="0" borderId="1" xfId="7" applyFont="1" applyBorder="1" applyAlignment="1">
      <alignment horizontal="center" wrapText="1"/>
    </xf>
    <xf numFmtId="0" fontId="37" fillId="0" borderId="1" xfId="7" applyFont="1" applyBorder="1"/>
    <xf numFmtId="0" fontId="38" fillId="9" borderId="1" xfId="7" applyFont="1" applyFill="1" applyBorder="1"/>
    <xf numFmtId="49" fontId="37" fillId="0" borderId="1" xfId="7" applyNumberFormat="1" applyFont="1" applyBorder="1"/>
    <xf numFmtId="169" fontId="37" fillId="0" borderId="1" xfId="7" applyNumberFormat="1" applyFont="1" applyBorder="1"/>
    <xf numFmtId="0" fontId="37" fillId="0" borderId="1" xfId="7" applyFont="1" applyBorder="1" applyAlignment="1">
      <alignment horizontal="right"/>
    </xf>
    <xf numFmtId="0" fontId="37" fillId="0" borderId="1" xfId="7" applyFont="1" applyBorder="1" applyAlignment="1">
      <alignment wrapText="1"/>
    </xf>
    <xf numFmtId="0" fontId="14" fillId="0" borderId="1" xfId="7" applyFont="1" applyBorder="1"/>
    <xf numFmtId="0" fontId="37" fillId="9" borderId="1" xfId="7" applyFont="1" applyFill="1" applyBorder="1"/>
    <xf numFmtId="168" fontId="31" fillId="5" borderId="1" xfId="6" applyNumberFormat="1" applyFont="1" applyFill="1" applyBorder="1" applyAlignment="1" applyProtection="1">
      <alignment horizontal="center" vertical="top"/>
    </xf>
    <xf numFmtId="168" fontId="31" fillId="5" borderId="1" xfId="6" applyNumberFormat="1" applyFont="1" applyFill="1" applyBorder="1" applyAlignment="1" applyProtection="1">
      <alignment horizontal="center" vertical="top" wrapText="1"/>
    </xf>
    <xf numFmtId="165" fontId="31" fillId="5" borderId="1" xfId="6" applyNumberFormat="1" applyFont="1" applyFill="1" applyBorder="1" applyAlignment="1" applyProtection="1">
      <alignment horizontal="center" vertical="top"/>
    </xf>
    <xf numFmtId="165" fontId="31" fillId="0" borderId="1" xfId="6" applyNumberFormat="1" applyFont="1" applyFill="1" applyBorder="1" applyAlignment="1" applyProtection="1">
      <alignment horizontal="center" vertical="top"/>
    </xf>
    <xf numFmtId="168" fontId="20" fillId="0" borderId="8" xfId="6" applyNumberFormat="1" applyFont="1" applyBorder="1" applyAlignment="1" applyProtection="1">
      <alignment horizontal="justify" vertical="top" wrapText="1"/>
    </xf>
    <xf numFmtId="0" fontId="0" fillId="5" borderId="0" xfId="0" applyFill="1"/>
    <xf numFmtId="37" fontId="48" fillId="5" borderId="4" xfId="13" applyNumberFormat="1" applyFont="1" applyFill="1" applyBorder="1"/>
    <xf numFmtId="37" fontId="48" fillId="0" borderId="4" xfId="13" applyNumberFormat="1" applyFont="1" applyBorder="1" applyAlignment="1" applyProtection="1">
      <alignment horizontal="right"/>
      <protection locked="0"/>
    </xf>
    <xf numFmtId="37" fontId="48" fillId="0" borderId="9" xfId="13" applyNumberFormat="1" applyFont="1" applyBorder="1" applyAlignment="1" applyProtection="1">
      <alignment horizontal="right"/>
      <protection locked="0"/>
    </xf>
    <xf numFmtId="173" fontId="64" fillId="0" borderId="1" xfId="13" applyNumberFormat="1" applyBorder="1" applyProtection="1">
      <protection locked="0"/>
    </xf>
    <xf numFmtId="0" fontId="28" fillId="0" borderId="0" xfId="0" applyFont="1"/>
    <xf numFmtId="0" fontId="28" fillId="0" borderId="0" xfId="0" applyFont="1" applyAlignment="1">
      <alignment horizontal="right"/>
    </xf>
    <xf numFmtId="0" fontId="0" fillId="13" borderId="0" xfId="0" applyFill="1"/>
    <xf numFmtId="37" fontId="0" fillId="13" borderId="0" xfId="0" applyNumberFormat="1" applyFill="1"/>
    <xf numFmtId="0" fontId="0" fillId="13" borderId="0" xfId="0" applyFill="1" applyAlignment="1">
      <alignment horizontal="left"/>
    </xf>
    <xf numFmtId="0" fontId="0" fillId="2" borderId="0" xfId="0" applyFill="1"/>
    <xf numFmtId="37" fontId="28" fillId="2" borderId="0" xfId="0" applyNumberFormat="1" applyFont="1" applyFill="1"/>
    <xf numFmtId="37" fontId="0" fillId="2" borderId="0" xfId="0" applyNumberFormat="1" applyFill="1"/>
    <xf numFmtId="0" fontId="0" fillId="14" borderId="0" xfId="0" applyFill="1"/>
    <xf numFmtId="37" fontId="28" fillId="14" borderId="0" xfId="0" applyNumberFormat="1" applyFont="1" applyFill="1"/>
    <xf numFmtId="37" fontId="35" fillId="13" borderId="0" xfId="0" applyNumberFormat="1" applyFont="1" applyFill="1"/>
    <xf numFmtId="0" fontId="0" fillId="13" borderId="0" xfId="0" applyFill="1" applyAlignment="1">
      <alignment horizontal="right"/>
    </xf>
    <xf numFmtId="37" fontId="0" fillId="14" borderId="0" xfId="0" applyNumberFormat="1" applyFill="1"/>
    <xf numFmtId="0" fontId="0" fillId="15" borderId="0" xfId="0" applyFill="1"/>
    <xf numFmtId="37" fontId="0" fillId="15" borderId="0" xfId="0" applyNumberFormat="1" applyFill="1"/>
    <xf numFmtId="37" fontId="5" fillId="2" borderId="0" xfId="0" applyNumberFormat="1" applyFont="1" applyFill="1"/>
    <xf numFmtId="0" fontId="29" fillId="13" borderId="0" xfId="0" applyFont="1" applyFill="1"/>
    <xf numFmtId="37" fontId="29" fillId="13" borderId="0" xfId="0" applyNumberFormat="1" applyFont="1" applyFill="1"/>
    <xf numFmtId="0" fontId="29" fillId="13" borderId="0" xfId="0" applyFont="1" applyFill="1" applyAlignment="1">
      <alignment horizontal="left"/>
    </xf>
    <xf numFmtId="0" fontId="29" fillId="2" borderId="0" xfId="0" applyFont="1" applyFill="1"/>
    <xf numFmtId="37" fontId="50" fillId="0" borderId="18" xfId="0" applyNumberFormat="1" applyFont="1" applyBorder="1"/>
    <xf numFmtId="0" fontId="12" fillId="6" borderId="0" xfId="6" applyFont="1" applyFill="1" applyProtection="1"/>
    <xf numFmtId="37" fontId="48" fillId="0" borderId="9" xfId="13" applyNumberFormat="1" applyFont="1" applyBorder="1"/>
    <xf numFmtId="49" fontId="64" fillId="0" borderId="3" xfId="13" applyNumberFormat="1" applyBorder="1" applyAlignment="1">
      <alignment horizontal="center"/>
    </xf>
    <xf numFmtId="49" fontId="46" fillId="0" borderId="3" xfId="0" applyNumberFormat="1" applyFont="1" applyBorder="1" applyProtection="1">
      <protection locked="0"/>
    </xf>
    <xf numFmtId="37" fontId="50" fillId="0" borderId="10" xfId="0" applyNumberFormat="1" applyFont="1" applyBorder="1" applyProtection="1">
      <protection locked="0"/>
    </xf>
    <xf numFmtId="37" fontId="29" fillId="5" borderId="1" xfId="10" applyNumberFormat="1" applyFont="1" applyFill="1" applyBorder="1" applyProtection="1">
      <protection locked="0"/>
    </xf>
    <xf numFmtId="168" fontId="5" fillId="0" borderId="0" xfId="6" applyNumberFormat="1" applyFont="1" applyFill="1" applyAlignment="1" applyProtection="1">
      <alignment horizontal="left" vertical="top"/>
    </xf>
    <xf numFmtId="0" fontId="33" fillId="0" borderId="0" xfId="0" applyFont="1"/>
    <xf numFmtId="0" fontId="5" fillId="0" borderId="0" xfId="0" applyFont="1"/>
    <xf numFmtId="37" fontId="50" fillId="0" borderId="1" xfId="0" applyNumberFormat="1" applyFont="1" applyBorder="1"/>
    <xf numFmtId="37" fontId="0" fillId="0" borderId="1" xfId="0" applyNumberFormat="1" applyBorder="1"/>
    <xf numFmtId="37" fontId="50" fillId="4" borderId="1" xfId="0" applyNumberFormat="1" applyFont="1" applyFill="1" applyBorder="1"/>
    <xf numFmtId="10" fontId="50" fillId="4" borderId="1" xfId="0" applyNumberFormat="1" applyFont="1" applyFill="1" applyBorder="1"/>
    <xf numFmtId="37" fontId="50" fillId="0" borderId="15" xfId="0" applyNumberFormat="1" applyFont="1" applyBorder="1"/>
    <xf numFmtId="37" fontId="0" fillId="0" borderId="5" xfId="0" applyNumberFormat="1" applyBorder="1"/>
    <xf numFmtId="37" fontId="50" fillId="0" borderId="5" xfId="0" applyNumberFormat="1" applyFont="1" applyBorder="1"/>
    <xf numFmtId="37" fontId="50" fillId="4" borderId="5" xfId="0" applyNumberFormat="1" applyFont="1" applyFill="1" applyBorder="1"/>
    <xf numFmtId="37" fontId="0" fillId="4" borderId="21" xfId="0" applyNumberFormat="1" applyFill="1" applyBorder="1"/>
    <xf numFmtId="0" fontId="16" fillId="6" borderId="12" xfId="6" applyFont="1" applyFill="1" applyBorder="1" applyProtection="1"/>
    <xf numFmtId="0" fontId="16" fillId="6" borderId="7" xfId="6" applyFont="1" applyFill="1" applyBorder="1" applyProtection="1"/>
    <xf numFmtId="168" fontId="53" fillId="5" borderId="0" xfId="10" applyNumberFormat="1" applyFont="1" applyFill="1"/>
    <xf numFmtId="16" fontId="29" fillId="0" borderId="0" xfId="0" quotePrefix="1" applyNumberFormat="1" applyFont="1" applyAlignment="1">
      <alignment horizontal="right" vertical="top" wrapText="1"/>
    </xf>
    <xf numFmtId="0" fontId="0" fillId="0" borderId="0" xfId="0" quotePrefix="1" applyAlignment="1">
      <alignment horizontal="right" vertical="top"/>
    </xf>
    <xf numFmtId="168" fontId="5" fillId="0" borderId="0" xfId="6" applyNumberFormat="1" applyFont="1" applyFill="1" applyAlignment="1" applyProtection="1">
      <alignment vertical="top"/>
    </xf>
    <xf numFmtId="0" fontId="5" fillId="0" borderId="1" xfId="0" applyFont="1" applyBorder="1" applyAlignment="1">
      <alignment horizontal="left" wrapText="1"/>
    </xf>
    <xf numFmtId="0" fontId="5" fillId="0" borderId="1" xfId="0" applyFont="1" applyBorder="1" applyAlignment="1">
      <alignment horizontal="left" vertical="top" wrapText="1"/>
    </xf>
    <xf numFmtId="0" fontId="0" fillId="0" borderId="0" xfId="0" applyAlignment="1">
      <alignment horizontal="left"/>
    </xf>
    <xf numFmtId="0" fontId="0" fillId="0" borderId="0" xfId="0" applyAlignment="1">
      <alignment horizontal="left" wrapText="1"/>
    </xf>
    <xf numFmtId="0" fontId="0" fillId="0" borderId="5" xfId="0" applyBorder="1" applyAlignment="1">
      <alignment horizontal="center" wrapText="1"/>
    </xf>
    <xf numFmtId="0" fontId="0" fillId="0" borderId="10" xfId="0"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0" fontId="5" fillId="0" borderId="0" xfId="0" applyFont="1" applyAlignment="1">
      <alignment horizontal="center"/>
    </xf>
    <xf numFmtId="37" fontId="0" fillId="0" borderId="4" xfId="0" applyNumberFormat="1" applyBorder="1" applyAlignment="1" applyProtection="1">
      <alignment horizontal="right"/>
      <protection locked="0"/>
    </xf>
    <xf numFmtId="0" fontId="0" fillId="0" borderId="16" xfId="0" applyBorder="1" applyAlignment="1">
      <alignment horizontal="center"/>
    </xf>
    <xf numFmtId="0" fontId="0" fillId="0" borderId="17" xfId="0" applyBorder="1" applyAlignment="1">
      <alignment horizontal="center"/>
    </xf>
    <xf numFmtId="168" fontId="0" fillId="5" borderId="0" xfId="0" applyNumberFormat="1" applyFill="1" applyAlignment="1">
      <alignment horizontal="left"/>
    </xf>
    <xf numFmtId="168" fontId="0" fillId="5" borderId="14" xfId="0" applyNumberFormat="1" applyFill="1" applyBorder="1" applyAlignment="1">
      <alignment horizontal="left"/>
    </xf>
    <xf numFmtId="0" fontId="0" fillId="0" borderId="0" xfId="0" quotePrefix="1" applyAlignment="1">
      <alignment horizontal="left"/>
    </xf>
    <xf numFmtId="168" fontId="5" fillId="5" borderId="0" xfId="0" applyNumberFormat="1" applyFont="1" applyFill="1" applyAlignment="1">
      <alignment horizontal="center"/>
    </xf>
    <xf numFmtId="0" fontId="0" fillId="0" borderId="1" xfId="0" applyBorder="1" applyAlignment="1">
      <alignment horizontal="center"/>
    </xf>
    <xf numFmtId="0" fontId="29" fillId="0" borderId="9" xfId="10" applyFont="1" applyBorder="1" applyAlignment="1">
      <alignment horizontal="left"/>
    </xf>
    <xf numFmtId="0" fontId="29" fillId="0" borderId="4" xfId="10" applyFont="1" applyBorder="1" applyAlignment="1">
      <alignment horizontal="left"/>
    </xf>
    <xf numFmtId="168" fontId="29" fillId="5" borderId="0" xfId="10" applyNumberFormat="1" applyFont="1" applyFill="1" applyAlignment="1">
      <alignment horizontal="left"/>
    </xf>
    <xf numFmtId="0" fontId="29" fillId="0" borderId="3" xfId="10" applyFont="1" applyBorder="1" applyAlignment="1">
      <alignment horizontal="center"/>
    </xf>
    <xf numFmtId="0" fontId="64" fillId="0" borderId="3" xfId="13" applyBorder="1" applyAlignment="1">
      <alignment horizontal="center"/>
    </xf>
    <xf numFmtId="0" fontId="0" fillId="0" borderId="0" xfId="0" applyAlignment="1">
      <alignment horizontal="left" vertical="top" wrapText="1"/>
    </xf>
    <xf numFmtId="168" fontId="5" fillId="0" borderId="0" xfId="6" quotePrefix="1" applyNumberFormat="1" applyFont="1" applyFill="1" applyAlignment="1" applyProtection="1">
      <alignment horizontal="left" vertical="top"/>
    </xf>
    <xf numFmtId="0" fontId="12" fillId="0" borderId="13" xfId="6" applyFont="1" applyFill="1" applyBorder="1" applyAlignment="1" applyProtection="1">
      <alignment horizontal="center" vertical="top"/>
    </xf>
    <xf numFmtId="0" fontId="12" fillId="0" borderId="8" xfId="6" applyFont="1" applyFill="1" applyBorder="1" applyAlignment="1" applyProtection="1">
      <alignment horizontal="center" vertical="top"/>
    </xf>
    <xf numFmtId="0" fontId="12" fillId="0" borderId="0" xfId="6" applyFont="1" applyFill="1" applyAlignment="1" applyProtection="1">
      <alignment horizontal="center" vertical="top"/>
    </xf>
    <xf numFmtId="0" fontId="12" fillId="0" borderId="14" xfId="6" applyFont="1" applyFill="1" applyBorder="1" applyAlignment="1" applyProtection="1">
      <alignment horizontal="center" vertical="top"/>
    </xf>
    <xf numFmtId="0" fontId="12" fillId="0" borderId="15" xfId="6" applyFont="1" applyFill="1" applyBorder="1" applyAlignment="1" applyProtection="1">
      <alignment horizontal="center" vertical="top"/>
    </xf>
    <xf numFmtId="0" fontId="12" fillId="0" borderId="17" xfId="6" applyFont="1" applyFill="1" applyBorder="1" applyAlignment="1" applyProtection="1">
      <alignment horizontal="center" vertical="top"/>
    </xf>
    <xf numFmtId="37" fontId="50" fillId="4" borderId="15" xfId="0" applyNumberFormat="1" applyFont="1" applyFill="1" applyBorder="1"/>
    <xf numFmtId="0" fontId="53" fillId="0" borderId="0" xfId="0" applyFont="1" applyAlignment="1">
      <alignment vertical="center" wrapText="1"/>
    </xf>
    <xf numFmtId="0" fontId="53" fillId="0" borderId="0" xfId="0" applyFont="1" applyAlignment="1">
      <alignment horizontal="center" vertical="center" wrapText="1"/>
    </xf>
    <xf numFmtId="0" fontId="29" fillId="0" borderId="0" xfId="0" applyFont="1" applyAlignment="1">
      <alignment vertical="top" wrapText="1"/>
    </xf>
    <xf numFmtId="37" fontId="0" fillId="0" borderId="9" xfId="0" applyNumberFormat="1" applyBorder="1"/>
    <xf numFmtId="37" fontId="50" fillId="4" borderId="8" xfId="0" applyNumberFormat="1" applyFont="1" applyFill="1" applyBorder="1"/>
    <xf numFmtId="37" fontId="64" fillId="5" borderId="12" xfId="13" applyNumberFormat="1" applyFill="1" applyBorder="1"/>
    <xf numFmtId="49" fontId="0" fillId="0" borderId="1" xfId="0" applyNumberFormat="1" applyBorder="1" applyAlignment="1" applyProtection="1">
      <alignment horizontal="center" vertical="center" wrapText="1"/>
      <protection locked="0"/>
    </xf>
    <xf numFmtId="0" fontId="61" fillId="0" borderId="0" xfId="0" applyFont="1" applyAlignment="1" applyProtection="1">
      <alignment vertical="center"/>
      <protection locked="0"/>
    </xf>
    <xf numFmtId="0" fontId="0" fillId="0" borderId="0" xfId="0" applyAlignment="1">
      <alignment horizontal="center" vertical="center"/>
    </xf>
    <xf numFmtId="37" fontId="64" fillId="0" borderId="1" xfId="13" applyNumberFormat="1" applyBorder="1"/>
    <xf numFmtId="37" fontId="0" fillId="4" borderId="1" xfId="0" applyNumberFormat="1" applyFill="1" applyBorder="1"/>
    <xf numFmtId="49" fontId="0" fillId="0" borderId="0" xfId="0" applyNumberFormat="1" applyAlignment="1">
      <alignment horizontal="center"/>
    </xf>
    <xf numFmtId="0" fontId="31" fillId="6" borderId="10" xfId="6" applyFont="1" applyFill="1" applyBorder="1" applyAlignment="1" applyProtection="1">
      <alignment horizontal="center"/>
    </xf>
    <xf numFmtId="0" fontId="31" fillId="6" borderId="15" xfId="6" applyFont="1" applyFill="1" applyBorder="1" applyAlignment="1" applyProtection="1">
      <alignment horizontal="center"/>
    </xf>
    <xf numFmtId="0" fontId="31" fillId="6" borderId="5" xfId="6" applyFont="1" applyFill="1" applyBorder="1" applyAlignment="1" applyProtection="1">
      <alignment horizontal="center"/>
    </xf>
    <xf numFmtId="0" fontId="5" fillId="0" borderId="8" xfId="12" applyNumberFormat="1" applyFont="1" applyFill="1" applyBorder="1" applyAlignment="1" applyProtection="1">
      <alignment horizontal="center" vertical="center" wrapText="1"/>
    </xf>
    <xf numFmtId="0" fontId="63" fillId="0" borderId="9" xfId="6" applyFont="1" applyFill="1" applyBorder="1" applyAlignment="1" applyProtection="1">
      <alignment horizontal="left"/>
    </xf>
    <xf numFmtId="37" fontId="0" fillId="0" borderId="3" xfId="0" applyNumberFormat="1" applyBorder="1" applyAlignment="1" applyProtection="1">
      <alignment horizontal="right"/>
      <protection locked="0"/>
    </xf>
    <xf numFmtId="3" fontId="0" fillId="0" borderId="3" xfId="0" applyNumberFormat="1" applyBorder="1" applyProtection="1">
      <protection locked="0"/>
    </xf>
    <xf numFmtId="0" fontId="65" fillId="6" borderId="0" xfId="6" applyFont="1" applyFill="1" applyProtection="1"/>
    <xf numFmtId="37" fontId="0" fillId="5" borderId="19" xfId="0" applyNumberFormat="1" applyFill="1" applyBorder="1"/>
    <xf numFmtId="49" fontId="0" fillId="5" borderId="0" xfId="0" applyNumberFormat="1" applyFill="1" applyAlignment="1">
      <alignment wrapText="1"/>
    </xf>
    <xf numFmtId="4" fontId="0" fillId="0" borderId="0" xfId="0" applyNumberFormat="1" applyAlignment="1">
      <alignment horizontal="center"/>
    </xf>
    <xf numFmtId="4" fontId="0" fillId="0" borderId="1" xfId="0" applyNumberFormat="1" applyBorder="1" applyAlignment="1" applyProtection="1">
      <alignment horizontal="center"/>
      <protection locked="0"/>
    </xf>
    <xf numFmtId="37" fontId="0" fillId="5" borderId="7" xfId="0" applyNumberFormat="1" applyFill="1" applyBorder="1" applyProtection="1">
      <protection locked="0"/>
    </xf>
    <xf numFmtId="37" fontId="0" fillId="5" borderId="4" xfId="0" applyNumberFormat="1" applyFill="1" applyBorder="1" applyProtection="1">
      <protection locked="0"/>
    </xf>
    <xf numFmtId="2" fontId="0" fillId="0" borderId="0" xfId="0" applyNumberFormat="1" applyAlignment="1">
      <alignment horizontal="center"/>
    </xf>
    <xf numFmtId="0" fontId="0" fillId="7" borderId="1" xfId="0" applyFill="1" applyBorder="1"/>
    <xf numFmtId="168" fontId="0" fillId="5" borderId="12" xfId="0" applyNumberFormat="1" applyFill="1" applyBorder="1"/>
    <xf numFmtId="49" fontId="0" fillId="0" borderId="1" xfId="0" applyNumberFormat="1" applyBorder="1" applyAlignment="1">
      <alignment horizontal="center"/>
    </xf>
    <xf numFmtId="49" fontId="0" fillId="0" borderId="8" xfId="0" applyNumberFormat="1" applyBorder="1" applyAlignment="1">
      <alignment horizontal="center"/>
    </xf>
    <xf numFmtId="5" fontId="65" fillId="6" borderId="0" xfId="6" applyNumberFormat="1" applyFont="1" applyFill="1" applyBorder="1" applyProtection="1"/>
    <xf numFmtId="39" fontId="0" fillId="0" borderId="0" xfId="0" applyNumberFormat="1"/>
    <xf numFmtId="168" fontId="17" fillId="5" borderId="0" xfId="0" applyNumberFormat="1" applyFont="1" applyFill="1"/>
    <xf numFmtId="3" fontId="0" fillId="0" borderId="1" xfId="0" applyNumberFormat="1" applyBorder="1" applyProtection="1">
      <protection locked="0"/>
    </xf>
    <xf numFmtId="3" fontId="0" fillId="0" borderId="5" xfId="0" applyNumberFormat="1" applyBorder="1" applyProtection="1">
      <protection locked="0"/>
    </xf>
    <xf numFmtId="37" fontId="0" fillId="5" borderId="0" xfId="0" applyNumberFormat="1" applyFill="1"/>
    <xf numFmtId="3" fontId="0" fillId="0" borderId="10" xfId="0" applyNumberFormat="1" applyBorder="1" applyProtection="1">
      <protection locked="0"/>
    </xf>
    <xf numFmtId="37" fontId="0" fillId="0" borderId="21" xfId="0" applyNumberFormat="1" applyBorder="1"/>
    <xf numFmtId="165" fontId="0" fillId="0" borderId="0" xfId="0" applyNumberFormat="1"/>
    <xf numFmtId="165" fontId="0" fillId="0" borderId="3" xfId="0" applyNumberFormat="1" applyBorder="1" applyProtection="1">
      <protection locked="0"/>
    </xf>
    <xf numFmtId="37" fontId="0" fillId="0" borderId="5" xfId="0" applyNumberFormat="1" applyBorder="1" applyProtection="1">
      <protection locked="0"/>
    </xf>
    <xf numFmtId="0" fontId="0" fillId="0" borderId="1" xfId="0" applyBorder="1" applyAlignment="1" applyProtection="1">
      <alignment vertical="top" wrapText="1"/>
      <protection locked="0"/>
    </xf>
    <xf numFmtId="0" fontId="12" fillId="0" borderId="1" xfId="6" applyFont="1" applyFill="1" applyBorder="1" applyAlignment="1" applyProtection="1">
      <alignment horizontal="center" vertical="top"/>
    </xf>
    <xf numFmtId="0" fontId="32" fillId="6" borderId="0" xfId="6" applyFont="1" applyFill="1" applyBorder="1" applyAlignment="1" applyProtection="1">
      <alignment horizontal="center"/>
    </xf>
    <xf numFmtId="0" fontId="16" fillId="0" borderId="13" xfId="6" applyFont="1" applyFill="1" applyBorder="1" applyProtection="1"/>
    <xf numFmtId="0" fontId="16" fillId="0" borderId="10" xfId="6" applyFont="1" applyFill="1" applyBorder="1" applyProtection="1"/>
    <xf numFmtId="0" fontId="37" fillId="0" borderId="0" xfId="7" applyFont="1" applyAlignment="1">
      <alignment horizontal="center"/>
    </xf>
    <xf numFmtId="37" fontId="0" fillId="9" borderId="10" xfId="0" applyNumberFormat="1" applyFill="1" applyBorder="1" applyAlignment="1">
      <alignment horizontal="center"/>
    </xf>
    <xf numFmtId="37" fontId="0" fillId="9" borderId="15" xfId="0" applyNumberFormat="1" applyFill="1" applyBorder="1" applyAlignment="1">
      <alignment horizontal="center"/>
    </xf>
    <xf numFmtId="0" fontId="12" fillId="0" borderId="8" xfId="6" applyFont="1" applyBorder="1" applyAlignment="1" applyProtection="1">
      <alignment horizontal="center" vertical="top"/>
    </xf>
    <xf numFmtId="37" fontId="0" fillId="10" borderId="35" xfId="0" applyNumberFormat="1" applyFill="1" applyBorder="1" applyAlignment="1">
      <alignment horizontal="center"/>
    </xf>
    <xf numFmtId="37" fontId="0" fillId="10" borderId="12" xfId="0" applyNumberFormat="1" applyFill="1" applyBorder="1"/>
    <xf numFmtId="37" fontId="0" fillId="10" borderId="2" xfId="0" applyNumberFormat="1" applyFill="1" applyBorder="1"/>
    <xf numFmtId="37" fontId="0" fillId="10" borderId="36" xfId="0" applyNumberFormat="1" applyFill="1" applyBorder="1"/>
    <xf numFmtId="37" fontId="0" fillId="10" borderId="9" xfId="0" applyNumberFormat="1" applyFill="1" applyBorder="1"/>
    <xf numFmtId="37" fontId="0" fillId="10" borderId="3" xfId="0" applyNumberFormat="1" applyFill="1" applyBorder="1"/>
    <xf numFmtId="0" fontId="31" fillId="6" borderId="3" xfId="6" applyFont="1" applyFill="1" applyBorder="1" applyProtection="1"/>
    <xf numFmtId="0" fontId="34" fillId="6" borderId="0" xfId="6" applyFont="1" applyFill="1" applyProtection="1"/>
    <xf numFmtId="49" fontId="34" fillId="6" borderId="0" xfId="6" applyNumberFormat="1" applyFont="1" applyFill="1" applyProtection="1"/>
    <xf numFmtId="0" fontId="68" fillId="0" borderId="0" xfId="0" applyFont="1" applyAlignment="1">
      <alignment vertical="top" wrapText="1"/>
    </xf>
    <xf numFmtId="168" fontId="32" fillId="6" borderId="0" xfId="0" applyNumberFormat="1" applyFont="1" applyFill="1" applyAlignment="1">
      <alignment horizontal="center"/>
    </xf>
    <xf numFmtId="0" fontId="32" fillId="6" borderId="0" xfId="6" applyFont="1" applyFill="1" applyAlignment="1" applyProtection="1">
      <alignment horizontal="center"/>
    </xf>
    <xf numFmtId="37" fontId="55" fillId="6" borderId="0" xfId="6" applyNumberFormat="1" applyFont="1" applyFill="1" applyBorder="1" applyAlignment="1" applyProtection="1">
      <alignment horizontal="center" vertical="center"/>
    </xf>
    <xf numFmtId="0" fontId="2" fillId="3" borderId="0" xfId="7" applyFont="1" applyFill="1" applyAlignment="1" applyProtection="1">
      <alignment horizontal="left"/>
      <protection locked="0"/>
    </xf>
    <xf numFmtId="167" fontId="0" fillId="0" borderId="0" xfId="0" quotePrefix="1" applyNumberFormat="1" applyAlignment="1">
      <alignment horizontal="right"/>
    </xf>
    <xf numFmtId="0" fontId="16" fillId="6" borderId="0" xfId="6" applyFont="1" applyFill="1" applyBorder="1" applyAlignment="1" applyProtection="1">
      <alignment horizontal="center"/>
    </xf>
    <xf numFmtId="37" fontId="0" fillId="0" borderId="15" xfId="0" applyNumberFormat="1" applyBorder="1" applyProtection="1">
      <protection locked="0"/>
    </xf>
    <xf numFmtId="37" fontId="67" fillId="0" borderId="1" xfId="0" applyNumberFormat="1" applyFont="1" applyBorder="1" applyProtection="1">
      <protection locked="0"/>
    </xf>
    <xf numFmtId="38" fontId="67" fillId="0" borderId="1" xfId="0" applyNumberFormat="1" applyFont="1" applyBorder="1" applyProtection="1">
      <protection locked="0"/>
    </xf>
    <xf numFmtId="0" fontId="16" fillId="6" borderId="0" xfId="6" applyFont="1" applyFill="1" applyBorder="1" applyProtection="1"/>
    <xf numFmtId="0" fontId="12" fillId="6" borderId="0" xfId="6" applyFont="1" applyFill="1" applyBorder="1" applyProtection="1"/>
    <xf numFmtId="0" fontId="69" fillId="6" borderId="0" xfId="6" applyFont="1" applyFill="1" applyAlignment="1" applyProtection="1">
      <alignment horizontal="right"/>
    </xf>
    <xf numFmtId="0" fontId="69" fillId="6" borderId="0" xfId="6" quotePrefix="1" applyFont="1" applyFill="1" applyAlignment="1" applyProtection="1">
      <alignment horizontal="right"/>
    </xf>
    <xf numFmtId="0" fontId="1" fillId="3" borderId="0" xfId="7" applyFont="1" applyFill="1" applyAlignment="1" applyProtection="1">
      <alignment horizontal="left"/>
      <protection locked="0"/>
    </xf>
    <xf numFmtId="0" fontId="67" fillId="0" borderId="0" xfId="0" applyFont="1"/>
    <xf numFmtId="49" fontId="67" fillId="0" borderId="0" xfId="0" applyNumberFormat="1" applyFont="1" applyAlignment="1">
      <alignment horizontal="right"/>
    </xf>
    <xf numFmtId="37" fontId="67" fillId="4" borderId="1" xfId="0" applyNumberFormat="1" applyFont="1" applyFill="1" applyBorder="1"/>
    <xf numFmtId="167" fontId="0" fillId="0" borderId="34" xfId="0" quotePrefix="1" applyNumberFormat="1" applyBorder="1" applyAlignment="1">
      <alignment horizontal="right"/>
    </xf>
    <xf numFmtId="168" fontId="67" fillId="5" borderId="2" xfId="0" applyNumberFormat="1" applyFont="1" applyFill="1" applyBorder="1"/>
    <xf numFmtId="168" fontId="67" fillId="5" borderId="16" xfId="0" applyNumberFormat="1" applyFont="1" applyFill="1" applyBorder="1"/>
    <xf numFmtId="167" fontId="64" fillId="0" borderId="0" xfId="9" applyNumberFormat="1" applyFont="1" applyAlignment="1">
      <alignment horizontal="right"/>
    </xf>
    <xf numFmtId="167" fontId="64" fillId="0" borderId="34" xfId="9" applyNumberFormat="1" applyFont="1" applyBorder="1" applyAlignment="1">
      <alignment horizontal="right"/>
    </xf>
    <xf numFmtId="167" fontId="64" fillId="0" borderId="0" xfId="9" applyNumberFormat="1" applyFont="1" applyAlignment="1">
      <alignment horizontal="left"/>
    </xf>
    <xf numFmtId="49" fontId="67" fillId="0" borderId="0" xfId="0" applyNumberFormat="1" applyFont="1" applyAlignment="1">
      <alignment horizontal="center"/>
    </xf>
    <xf numFmtId="168" fontId="67" fillId="5" borderId="0" xfId="0" quotePrefix="1" applyNumberFormat="1" applyFont="1" applyFill="1" applyAlignment="1">
      <alignment horizontal="left"/>
    </xf>
    <xf numFmtId="49" fontId="67" fillId="0" borderId="0" xfId="0" applyNumberFormat="1" applyFont="1"/>
    <xf numFmtId="0" fontId="67" fillId="0" borderId="0" xfId="13" applyFont="1"/>
    <xf numFmtId="0" fontId="67" fillId="0" borderId="0" xfId="0" applyFont="1" applyAlignment="1">
      <alignment horizontal="left" vertical="top"/>
    </xf>
    <xf numFmtId="0" fontId="67" fillId="0" borderId="0" xfId="0" quotePrefix="1" applyFont="1" applyAlignment="1">
      <alignment horizontal="left" vertical="top"/>
    </xf>
    <xf numFmtId="168" fontId="5" fillId="0" borderId="0" xfId="6" quotePrefix="1" applyNumberFormat="1" applyFont="1" applyFill="1" applyAlignment="1" applyProtection="1">
      <alignment vertical="top"/>
    </xf>
    <xf numFmtId="0" fontId="67" fillId="0" borderId="0" xfId="0" applyFont="1" applyAlignment="1">
      <alignment vertical="top"/>
    </xf>
    <xf numFmtId="0" fontId="0" fillId="17" borderId="1" xfId="6" applyFont="1" applyFill="1" applyBorder="1" applyAlignment="1" applyProtection="1">
      <alignment vertical="top" wrapText="1"/>
    </xf>
    <xf numFmtId="0" fontId="67" fillId="17" borderId="1" xfId="6" applyFont="1" applyFill="1" applyBorder="1" applyAlignment="1" applyProtection="1">
      <alignment vertical="top" wrapText="1"/>
    </xf>
    <xf numFmtId="168" fontId="67" fillId="5" borderId="0" xfId="10" applyNumberFormat="1" applyFont="1" applyFill="1" applyAlignment="1">
      <alignment horizontal="right"/>
    </xf>
    <xf numFmtId="0" fontId="16" fillId="6" borderId="0" xfId="6" applyFont="1" applyFill="1" applyAlignment="1" applyProtection="1">
      <alignment horizontal="center"/>
    </xf>
    <xf numFmtId="0" fontId="67" fillId="0" borderId="0" xfId="0" applyFont="1" applyAlignment="1">
      <alignment vertical="top" wrapText="1"/>
    </xf>
    <xf numFmtId="0" fontId="0" fillId="0" borderId="1" xfId="0" applyBorder="1" applyProtection="1">
      <protection locked="0"/>
    </xf>
    <xf numFmtId="0" fontId="16" fillId="6" borderId="7" xfId="6" applyFont="1" applyFill="1" applyBorder="1" applyAlignment="1" applyProtection="1">
      <alignment horizontal="center" vertical="center"/>
    </xf>
    <xf numFmtId="37" fontId="67" fillId="0" borderId="1" xfId="0" applyNumberFormat="1" applyFont="1" applyBorder="1"/>
    <xf numFmtId="168" fontId="67" fillId="0" borderId="0" xfId="0" applyNumberFormat="1" applyFont="1"/>
    <xf numFmtId="174" fontId="37" fillId="0" borderId="1" xfId="7" applyNumberFormat="1" applyFont="1" applyBorder="1" applyProtection="1">
      <protection locked="0"/>
    </xf>
    <xf numFmtId="37" fontId="17" fillId="17" borderId="0" xfId="0" applyNumberFormat="1" applyFont="1" applyFill="1" applyAlignment="1">
      <alignment horizontal="left" indent="1"/>
    </xf>
    <xf numFmtId="37" fontId="17" fillId="17" borderId="0" xfId="0" applyNumberFormat="1" applyFont="1" applyFill="1"/>
    <xf numFmtId="37" fontId="67" fillId="17" borderId="0" xfId="0" applyNumberFormat="1" applyFont="1" applyFill="1"/>
    <xf numFmtId="14" fontId="0" fillId="0" borderId="0" xfId="0" applyNumberFormat="1"/>
    <xf numFmtId="0" fontId="5" fillId="0" borderId="1" xfId="0" applyFont="1" applyBorder="1" applyAlignment="1">
      <alignment horizontal="center" vertical="center" wrapText="1"/>
    </xf>
    <xf numFmtId="168" fontId="0" fillId="5" borderId="1" xfId="0" applyNumberFormat="1" applyFill="1" applyBorder="1" applyAlignment="1">
      <alignment horizontal="justify" vertical="top" wrapText="1"/>
    </xf>
    <xf numFmtId="0" fontId="0" fillId="5" borderId="1" xfId="0" applyFill="1" applyBorder="1"/>
    <xf numFmtId="168" fontId="0" fillId="5" borderId="10" xfId="0" applyNumberFormat="1" applyFill="1" applyBorder="1" applyAlignment="1">
      <alignment horizontal="justify" vertical="top" wrapText="1"/>
    </xf>
    <xf numFmtId="168" fontId="0" fillId="5" borderId="1" xfId="0" applyNumberFormat="1" applyFill="1" applyBorder="1" applyAlignment="1">
      <alignment horizontal="justify" vertical="top"/>
    </xf>
    <xf numFmtId="168" fontId="67" fillId="5" borderId="1" xfId="0" applyNumberFormat="1" applyFont="1" applyFill="1" applyBorder="1" applyAlignment="1">
      <alignment horizontal="justify" vertical="top" wrapText="1"/>
    </xf>
    <xf numFmtId="168" fontId="0" fillId="5" borderId="1" xfId="0" applyNumberFormat="1" applyFill="1" applyBorder="1" applyAlignment="1">
      <alignment horizontal="center" vertical="top" wrapText="1"/>
    </xf>
    <xf numFmtId="0" fontId="0" fillId="17" borderId="1" xfId="0" applyFill="1" applyBorder="1" applyAlignment="1">
      <alignment horizontal="center" vertical="top" wrapText="1"/>
    </xf>
    <xf numFmtId="0" fontId="0" fillId="17" borderId="1" xfId="0" applyFill="1" applyBorder="1" applyAlignment="1">
      <alignment vertical="top" wrapText="1"/>
    </xf>
    <xf numFmtId="168" fontId="0" fillId="5" borderId="5" xfId="0" applyNumberFormat="1" applyFill="1" applyBorder="1" applyAlignment="1">
      <alignment horizontal="justify" vertical="top" wrapText="1"/>
    </xf>
    <xf numFmtId="168" fontId="0" fillId="0" borderId="1" xfId="0" applyNumberFormat="1" applyBorder="1" applyAlignment="1">
      <alignment horizontal="center" vertical="top"/>
    </xf>
    <xf numFmtId="168" fontId="67" fillId="0" borderId="1" xfId="0" applyNumberFormat="1" applyFont="1" applyBorder="1" applyAlignment="1">
      <alignment horizontal="justify" vertical="top"/>
    </xf>
    <xf numFmtId="168" fontId="67" fillId="0" borderId="1" xfId="0" applyNumberFormat="1" applyFont="1" applyBorder="1" applyAlignment="1">
      <alignment horizontal="center" vertical="top" wrapText="1"/>
    </xf>
    <xf numFmtId="168" fontId="0" fillId="0" borderId="1" xfId="0" applyNumberFormat="1" applyBorder="1" applyAlignment="1">
      <alignment horizontal="justify" vertical="top" wrapText="1"/>
    </xf>
    <xf numFmtId="168" fontId="67" fillId="0" borderId="1" xfId="0" applyNumberFormat="1" applyFont="1" applyBorder="1" applyAlignment="1">
      <alignment horizontal="justify" vertical="top" wrapText="1"/>
    </xf>
    <xf numFmtId="168" fontId="0" fillId="0" borderId="1" xfId="0" applyNumberFormat="1" applyBorder="1" applyAlignment="1">
      <alignment horizontal="center" vertical="top" wrapText="1"/>
    </xf>
    <xf numFmtId="168" fontId="67" fillId="5" borderId="1" xfId="0" applyNumberFormat="1" applyFont="1" applyFill="1" applyBorder="1" applyAlignment="1">
      <alignment horizontal="justify" vertical="top"/>
    </xf>
    <xf numFmtId="168" fontId="0" fillId="0" borderId="1" xfId="0" applyNumberFormat="1" applyBorder="1" applyAlignment="1">
      <alignment horizontal="justify" vertical="top"/>
    </xf>
    <xf numFmtId="0" fontId="34" fillId="0" borderId="1" xfId="0" applyFont="1" applyBorder="1" applyAlignment="1">
      <alignment vertical="top" wrapText="1"/>
    </xf>
    <xf numFmtId="0" fontId="0" fillId="0" borderId="1" xfId="0" applyBorder="1"/>
    <xf numFmtId="0" fontId="67" fillId="17" borderId="1" xfId="0" applyFont="1" applyFill="1" applyBorder="1" applyAlignment="1">
      <alignment vertical="top" wrapText="1"/>
    </xf>
    <xf numFmtId="0" fontId="0" fillId="5" borderId="1" xfId="0" applyFill="1" applyBorder="1" applyAlignment="1">
      <alignment horizontal="left" vertical="top" wrapText="1"/>
    </xf>
    <xf numFmtId="168" fontId="0" fillId="0" borderId="1" xfId="0" applyNumberFormat="1" applyBorder="1" applyAlignment="1">
      <alignment vertical="top" wrapText="1"/>
    </xf>
    <xf numFmtId="168" fontId="0" fillId="0" borderId="10" xfId="0" applyNumberFormat="1" applyBorder="1" applyAlignment="1">
      <alignment horizontal="center" vertical="top" wrapText="1"/>
    </xf>
    <xf numFmtId="168" fontId="26" fillId="0" borderId="10" xfId="0" applyNumberFormat="1" applyFont="1" applyBorder="1" applyAlignment="1">
      <alignment horizontal="center" vertical="top" wrapText="1"/>
    </xf>
    <xf numFmtId="168" fontId="26" fillId="0" borderId="1" xfId="0" applyNumberFormat="1" applyFont="1" applyBorder="1" applyAlignment="1">
      <alignment horizontal="justify" vertical="top" wrapText="1"/>
    </xf>
    <xf numFmtId="0" fontId="64" fillId="5" borderId="1" xfId="0" applyFont="1" applyFill="1" applyBorder="1"/>
    <xf numFmtId="0" fontId="33" fillId="0" borderId="1" xfId="0" applyFont="1" applyBorder="1"/>
    <xf numFmtId="0" fontId="0" fillId="0" borderId="1" xfId="0" applyBorder="1" applyAlignment="1">
      <alignment vertical="top" wrapText="1"/>
    </xf>
    <xf numFmtId="0" fontId="0" fillId="5" borderId="1" xfId="0" applyFill="1" applyBorder="1" applyAlignment="1">
      <alignment vertical="top" wrapText="1"/>
    </xf>
    <xf numFmtId="168" fontId="0" fillId="5" borderId="8" xfId="0" applyNumberFormat="1" applyFill="1" applyBorder="1" applyAlignment="1">
      <alignment horizontal="justify" vertical="top"/>
    </xf>
    <xf numFmtId="0" fontId="0" fillId="0" borderId="8" xfId="0" applyBorder="1" applyAlignment="1">
      <alignment vertical="top" wrapText="1"/>
    </xf>
    <xf numFmtId="168" fontId="0" fillId="0" borderId="15" xfId="0" applyNumberFormat="1" applyBorder="1" applyAlignment="1">
      <alignment horizontal="center" vertical="top" wrapText="1"/>
    </xf>
    <xf numFmtId="0" fontId="34" fillId="4" borderId="1" xfId="0" applyFont="1" applyFill="1" applyBorder="1" applyAlignment="1">
      <alignment horizontal="left" vertical="top" wrapText="1"/>
    </xf>
    <xf numFmtId="168" fontId="0" fillId="0" borderId="1" xfId="0" applyNumberFormat="1" applyBorder="1" applyAlignment="1">
      <alignment horizontal="left" vertical="top" wrapText="1"/>
    </xf>
    <xf numFmtId="0" fontId="18" fillId="0" borderId="1" xfId="0" applyFont="1" applyBorder="1" applyAlignment="1">
      <alignment vertical="top" wrapText="1"/>
    </xf>
    <xf numFmtId="168" fontId="29" fillId="0" borderId="1" xfId="0" applyNumberFormat="1" applyFont="1" applyBorder="1" applyAlignment="1">
      <alignment horizontal="left" vertical="top" wrapText="1"/>
    </xf>
    <xf numFmtId="168" fontId="0" fillId="0" borderId="10" xfId="0" applyNumberFormat="1" applyBorder="1" applyAlignment="1">
      <alignment horizontal="justify" vertical="top"/>
    </xf>
    <xf numFmtId="0" fontId="18" fillId="0" borderId="10" xfId="0" applyFont="1" applyBorder="1" applyAlignment="1">
      <alignment vertical="top" wrapText="1"/>
    </xf>
    <xf numFmtId="168" fontId="0" fillId="0" borderId="5" xfId="0" applyNumberFormat="1" applyBorder="1" applyAlignment="1">
      <alignment horizontal="justify" vertical="top"/>
    </xf>
    <xf numFmtId="0" fontId="18" fillId="0" borderId="5" xfId="0" applyFont="1" applyBorder="1" applyAlignment="1">
      <alignment vertical="top" wrapText="1"/>
    </xf>
    <xf numFmtId="0" fontId="12" fillId="17" borderId="1" xfId="6" quotePrefix="1" applyFont="1" applyFill="1" applyBorder="1" applyAlignment="1" applyProtection="1">
      <alignment horizontal="center" vertical="top" wrapText="1"/>
    </xf>
    <xf numFmtId="0" fontId="67" fillId="17" borderId="1" xfId="0" applyFont="1" applyFill="1" applyBorder="1" applyAlignment="1">
      <alignment horizontal="center" vertical="top" wrapText="1"/>
    </xf>
    <xf numFmtId="0" fontId="67" fillId="17" borderId="1" xfId="0" quotePrefix="1" applyFont="1" applyFill="1" applyBorder="1" applyAlignment="1">
      <alignment horizontal="left" vertical="top" wrapText="1"/>
    </xf>
    <xf numFmtId="0" fontId="67" fillId="17" borderId="1" xfId="0" applyFont="1" applyFill="1" applyBorder="1" applyAlignment="1">
      <alignment horizontal="left" vertical="top" wrapText="1"/>
    </xf>
    <xf numFmtId="0" fontId="67" fillId="17" borderId="1" xfId="0" applyFont="1" applyFill="1" applyBorder="1" applyAlignment="1">
      <alignment horizontal="justify" vertical="top" wrapText="1"/>
    </xf>
    <xf numFmtId="0" fontId="0" fillId="17" borderId="1" xfId="0" applyFill="1" applyBorder="1" applyAlignment="1">
      <alignment horizontal="left" vertical="top" wrapText="1"/>
    </xf>
    <xf numFmtId="0" fontId="29" fillId="17" borderId="1" xfId="0" applyFont="1" applyFill="1" applyBorder="1" applyAlignment="1">
      <alignment horizontal="justify" vertical="top" wrapText="1"/>
    </xf>
    <xf numFmtId="0" fontId="5" fillId="17" borderId="1" xfId="0" applyFont="1" applyFill="1" applyBorder="1" applyAlignment="1">
      <alignment horizontal="justify" vertical="top" wrapText="1"/>
    </xf>
    <xf numFmtId="0" fontId="67" fillId="17" borderId="5" xfId="0" applyFont="1" applyFill="1" applyBorder="1" applyAlignment="1">
      <alignment horizontal="justify" vertical="top" wrapText="1"/>
    </xf>
    <xf numFmtId="0" fontId="67" fillId="17" borderId="12" xfId="0" applyFont="1" applyFill="1" applyBorder="1" applyAlignment="1">
      <alignment horizontal="justify" vertical="top" wrapText="1"/>
    </xf>
    <xf numFmtId="0" fontId="0" fillId="17" borderId="10" xfId="0" applyFill="1" applyBorder="1" applyAlignment="1">
      <alignment horizontal="left" vertical="top" wrapText="1"/>
    </xf>
    <xf numFmtId="0" fontId="63" fillId="17" borderId="5" xfId="6" applyFont="1" applyFill="1" applyBorder="1" applyProtection="1"/>
    <xf numFmtId="0" fontId="0" fillId="17" borderId="35" xfId="0" applyFill="1"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justify" vertical="top"/>
    </xf>
    <xf numFmtId="0" fontId="67" fillId="0" borderId="1" xfId="0" applyFont="1" applyBorder="1" applyAlignment="1">
      <alignment horizontal="justify" vertical="top" wrapText="1"/>
    </xf>
    <xf numFmtId="168" fontId="67" fillId="0" borderId="1" xfId="0" applyNumberFormat="1" applyFont="1" applyBorder="1" applyAlignment="1">
      <alignment horizontal="left" vertical="top" wrapText="1"/>
    </xf>
    <xf numFmtId="0" fontId="52" fillId="0" borderId="1" xfId="0" applyFont="1"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justify" vertical="top" wrapText="1"/>
    </xf>
    <xf numFmtId="0" fontId="58" fillId="0" borderId="1" xfId="0" applyFont="1" applyBorder="1"/>
    <xf numFmtId="0" fontId="0" fillId="0" borderId="9" xfId="0" applyBorder="1" applyAlignment="1">
      <alignment horizontal="center" vertical="top" wrapText="1"/>
    </xf>
    <xf numFmtId="0" fontId="58" fillId="0" borderId="8" xfId="0" applyFont="1" applyBorder="1"/>
    <xf numFmtId="0" fontId="0" fillId="0" borderId="1" xfId="0" applyBorder="1" applyAlignment="1">
      <alignment horizontal="left" vertical="top"/>
    </xf>
    <xf numFmtId="0" fontId="67" fillId="0" borderId="1" xfId="0" applyFont="1" applyBorder="1" applyAlignment="1">
      <alignment vertical="top" wrapText="1"/>
    </xf>
    <xf numFmtId="0" fontId="0" fillId="0" borderId="1" xfId="0" applyBorder="1" applyAlignment="1">
      <alignment horizontal="left"/>
    </xf>
    <xf numFmtId="14" fontId="46" fillId="0" borderId="3" xfId="0" applyNumberFormat="1" applyFont="1" applyBorder="1" applyProtection="1">
      <protection locked="0"/>
    </xf>
    <xf numFmtId="0" fontId="0" fillId="0" borderId="3" xfId="0" applyBorder="1"/>
    <xf numFmtId="0" fontId="0" fillId="0" borderId="7" xfId="0" applyBorder="1" applyAlignment="1">
      <alignment horizontal="center"/>
    </xf>
    <xf numFmtId="0" fontId="46" fillId="0" borderId="3" xfId="0" applyFont="1" applyBorder="1" applyProtection="1">
      <protection locked="0"/>
    </xf>
    <xf numFmtId="0" fontId="0" fillId="0" borderId="3" xfId="0" applyBorder="1" applyAlignment="1" applyProtection="1">
      <alignment horizontal="center"/>
      <protection locked="0"/>
    </xf>
    <xf numFmtId="0" fontId="46" fillId="0" borderId="0" xfId="0" applyFont="1" applyProtection="1">
      <protection locked="0"/>
    </xf>
    <xf numFmtId="0" fontId="46" fillId="4" borderId="0" xfId="0" applyFont="1" applyFill="1"/>
    <xf numFmtId="0" fontId="33" fillId="4" borderId="0" xfId="0" applyFont="1" applyFill="1" applyAlignment="1">
      <alignment horizontal="left" vertical="top" wrapText="1"/>
    </xf>
    <xf numFmtId="0" fontId="21" fillId="4" borderId="0" xfId="0" applyFont="1" applyFill="1" applyAlignment="1">
      <alignment vertical="top" wrapText="1"/>
    </xf>
    <xf numFmtId="0" fontId="9" fillId="0" borderId="0" xfId="0" applyFont="1" applyAlignment="1">
      <alignment horizontal="center"/>
    </xf>
    <xf numFmtId="0" fontId="10" fillId="0" borderId="0" xfId="0" applyFont="1" applyAlignment="1">
      <alignment horizontal="center"/>
    </xf>
    <xf numFmtId="0" fontId="0" fillId="0" borderId="0" xfId="0"/>
    <xf numFmtId="0" fontId="33" fillId="0" borderId="0" xfId="0" applyFont="1" applyAlignment="1">
      <alignment horizontal="left" vertical="center" wrapText="1"/>
    </xf>
    <xf numFmtId="0" fontId="33" fillId="0" borderId="14" xfId="0" applyFont="1" applyBorder="1" applyAlignment="1">
      <alignment horizontal="left" vertical="center" wrapText="1"/>
    </xf>
    <xf numFmtId="0" fontId="6" fillId="16" borderId="0" xfId="6" applyFont="1" applyFill="1" applyAlignment="1" applyProtection="1">
      <alignment horizontal="center" wrapText="1"/>
    </xf>
    <xf numFmtId="0" fontId="31" fillId="6" borderId="0" xfId="6" applyFont="1" applyFill="1" applyAlignment="1" applyProtection="1">
      <alignment horizontal="center"/>
    </xf>
    <xf numFmtId="0" fontId="0" fillId="0" borderId="3" xfId="0" applyBorder="1" applyAlignment="1" applyProtection="1">
      <alignment horizontal="left"/>
      <protection locked="0"/>
    </xf>
    <xf numFmtId="0" fontId="0" fillId="0" borderId="34" xfId="0" applyBorder="1" applyAlignment="1" applyProtection="1">
      <alignment horizontal="left"/>
      <protection locked="0"/>
    </xf>
    <xf numFmtId="0" fontId="67" fillId="0" borderId="0" xfId="0" applyFont="1" applyAlignment="1">
      <alignment horizontal="center" wrapText="1"/>
    </xf>
    <xf numFmtId="0" fontId="0" fillId="0" borderId="7" xfId="0" applyBorder="1" applyAlignment="1">
      <alignment horizontal="center" vertical="top"/>
    </xf>
    <xf numFmtId="0" fontId="0" fillId="0" borderId="0" xfId="0" applyAlignment="1">
      <alignment horizontal="center"/>
    </xf>
    <xf numFmtId="0" fontId="33" fillId="4" borderId="0" xfId="0" applyFont="1" applyFill="1" applyAlignment="1">
      <alignment horizontal="left" vertical="center" wrapText="1"/>
    </xf>
    <xf numFmtId="0" fontId="33" fillId="4" borderId="14" xfId="0" applyFont="1" applyFill="1" applyBorder="1" applyAlignment="1">
      <alignment horizontal="left" vertical="center" wrapText="1"/>
    </xf>
    <xf numFmtId="0" fontId="5" fillId="0" borderId="0" xfId="0" applyFont="1" applyAlignment="1">
      <alignment horizontal="left"/>
    </xf>
    <xf numFmtId="37" fontId="50" fillId="4" borderId="3" xfId="0" applyNumberFormat="1" applyFont="1" applyFill="1" applyBorder="1"/>
    <xf numFmtId="0" fontId="67" fillId="0" borderId="0" xfId="0" applyFont="1"/>
    <xf numFmtId="0" fontId="0" fillId="0" borderId="0" xfId="0" applyAlignment="1">
      <alignment horizontal="justify" wrapText="1"/>
    </xf>
    <xf numFmtId="0" fontId="0" fillId="0" borderId="3" xfId="0" applyBorder="1" applyProtection="1">
      <protection locked="0"/>
    </xf>
    <xf numFmtId="0" fontId="0" fillId="0" borderId="0" xfId="0" applyAlignment="1">
      <alignment horizontal="center" wrapText="1"/>
    </xf>
    <xf numFmtId="0" fontId="0" fillId="0" borderId="0" xfId="0" applyAlignment="1">
      <alignment horizontal="center" vertical="top"/>
    </xf>
    <xf numFmtId="49" fontId="0" fillId="0" borderId="3" xfId="0" applyNumberFormat="1" applyBorder="1" applyAlignment="1">
      <alignment horizontal="center"/>
    </xf>
    <xf numFmtId="0" fontId="0" fillId="0" borderId="3" xfId="0" applyBorder="1" applyAlignment="1">
      <alignment horizontal="center"/>
    </xf>
    <xf numFmtId="49" fontId="46" fillId="4" borderId="3" xfId="0" applyNumberFormat="1" applyFont="1" applyFill="1" applyBorder="1" applyProtection="1">
      <protection locked="0"/>
    </xf>
    <xf numFmtId="49" fontId="0" fillId="4" borderId="3" xfId="0" applyNumberFormat="1" applyFill="1" applyBorder="1" applyProtection="1">
      <protection locked="0"/>
    </xf>
    <xf numFmtId="0" fontId="22" fillId="0" borderId="1" xfId="0" applyFont="1" applyBorder="1" applyAlignment="1">
      <alignment horizontal="center" wrapText="1"/>
    </xf>
    <xf numFmtId="6" fontId="22" fillId="0" borderId="1" xfId="0" applyNumberFormat="1" applyFont="1" applyBorder="1" applyAlignment="1">
      <alignment horizontal="center"/>
    </xf>
    <xf numFmtId="0" fontId="16" fillId="6" borderId="0" xfId="6" applyFont="1" applyFill="1" applyBorder="1" applyAlignment="1" applyProtection="1">
      <alignment horizontal="center"/>
    </xf>
    <xf numFmtId="0" fontId="0" fillId="0" borderId="0" xfId="0" applyAlignment="1">
      <alignment horizontal="left"/>
    </xf>
    <xf numFmtId="0" fontId="5" fillId="0" borderId="0" xfId="0" applyFont="1"/>
    <xf numFmtId="0" fontId="0" fillId="0" borderId="10" xfId="0" applyBorder="1" applyAlignment="1">
      <alignment horizontal="center" wrapText="1"/>
    </xf>
    <xf numFmtId="0" fontId="0" fillId="0" borderId="15"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xf>
    <xf numFmtId="37" fontId="50" fillId="0" borderId="10" xfId="0" applyNumberFormat="1" applyFont="1" applyBorder="1" applyAlignment="1">
      <alignment horizontal="right"/>
    </xf>
    <xf numFmtId="37" fontId="50" fillId="0" borderId="5" xfId="0" applyNumberFormat="1" applyFont="1" applyBorder="1" applyAlignment="1">
      <alignment horizontal="right"/>
    </xf>
    <xf numFmtId="0" fontId="0" fillId="0" borderId="0" xfId="0" applyAlignment="1">
      <alignment horizontal="left" wrapText="1"/>
    </xf>
    <xf numFmtId="10" fontId="50" fillId="4" borderId="15" xfId="0" applyNumberFormat="1" applyFont="1" applyFill="1" applyBorder="1"/>
    <xf numFmtId="10" fontId="0" fillId="4" borderId="5" xfId="0" applyNumberFormat="1" applyFill="1" applyBorder="1"/>
    <xf numFmtId="10" fontId="50" fillId="4" borderId="1" xfId="0" applyNumberFormat="1" applyFont="1" applyFill="1" applyBorder="1"/>
    <xf numFmtId="10" fontId="0" fillId="4" borderId="1" xfId="0" applyNumberFormat="1" applyFill="1" applyBorder="1"/>
    <xf numFmtId="10" fontId="0" fillId="4" borderId="1" xfId="0" applyNumberFormat="1" applyFill="1" applyBorder="1" applyAlignment="1">
      <alignment horizontal="right"/>
    </xf>
    <xf numFmtId="0" fontId="0" fillId="0" borderId="9" xfId="9" applyFont="1" applyBorder="1" applyAlignment="1">
      <alignment horizontal="center"/>
    </xf>
    <xf numFmtId="0" fontId="0" fillId="0" borderId="8" xfId="9" applyFont="1" applyBorder="1" applyAlignment="1">
      <alignment horizontal="center"/>
    </xf>
    <xf numFmtId="0" fontId="24" fillId="0" borderId="0" xfId="0" applyFont="1" applyAlignment="1">
      <alignment horizontal="left" vertical="center" wrapText="1"/>
    </xf>
    <xf numFmtId="0" fontId="16" fillId="6" borderId="3" xfId="6" applyFont="1" applyFill="1" applyBorder="1" applyProtection="1"/>
    <xf numFmtId="37" fontId="0" fillId="9" borderId="12" xfId="0" applyNumberFormat="1" applyFill="1" applyBorder="1" applyAlignment="1">
      <alignment horizontal="center"/>
    </xf>
    <xf numFmtId="37" fontId="0" fillId="9" borderId="2" xfId="0" applyNumberFormat="1" applyFill="1" applyBorder="1" applyAlignment="1">
      <alignment horizontal="center"/>
    </xf>
    <xf numFmtId="37" fontId="0" fillId="9" borderId="1" xfId="0" applyNumberFormat="1" applyFill="1" applyBorder="1" applyAlignment="1">
      <alignment horizontal="center"/>
    </xf>
    <xf numFmtId="37" fontId="0" fillId="9" borderId="10" xfId="0" applyNumberFormat="1" applyFill="1" applyBorder="1" applyAlignment="1">
      <alignment horizontal="center"/>
    </xf>
    <xf numFmtId="37" fontId="0" fillId="9" borderId="5" xfId="0" applyNumberFormat="1" applyFill="1" applyBorder="1" applyAlignment="1">
      <alignment horizontal="center"/>
    </xf>
    <xf numFmtId="37" fontId="50" fillId="4" borderId="1" xfId="0" applyNumberFormat="1" applyFont="1" applyFill="1" applyBorder="1"/>
    <xf numFmtId="37" fontId="0" fillId="4" borderId="1" xfId="0" applyNumberFormat="1" applyFill="1" applyBorder="1"/>
    <xf numFmtId="37" fontId="0" fillId="9" borderId="15" xfId="0" applyNumberFormat="1" applyFill="1"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37" fontId="0" fillId="9" borderId="16" xfId="0" applyNumberFormat="1" applyFill="1" applyBorder="1" applyAlignment="1">
      <alignment horizontal="center"/>
    </xf>
    <xf numFmtId="0" fontId="0" fillId="0" borderId="4" xfId="0" applyBorder="1" applyAlignment="1">
      <alignment horizontal="center"/>
    </xf>
    <xf numFmtId="37" fontId="50" fillId="0" borderId="5" xfId="0" applyNumberFormat="1" applyFont="1" applyBorder="1"/>
    <xf numFmtId="37" fontId="0" fillId="0" borderId="1" xfId="0" applyNumberFormat="1" applyBorder="1"/>
    <xf numFmtId="0" fontId="5" fillId="0" borderId="3" xfId="0" applyFont="1" applyBorder="1" applyAlignment="1">
      <alignment horizontal="center"/>
    </xf>
    <xf numFmtId="0" fontId="5" fillId="0" borderId="0" xfId="0" applyFont="1" applyAlignment="1">
      <alignment horizontal="center"/>
    </xf>
    <xf numFmtId="0" fontId="31" fillId="6" borderId="10" xfId="6" applyFont="1" applyFill="1" applyBorder="1" applyAlignment="1" applyProtection="1">
      <alignment horizontal="center" wrapText="1"/>
    </xf>
    <xf numFmtId="0" fontId="31" fillId="6" borderId="15" xfId="6" applyFont="1" applyFill="1" applyBorder="1" applyAlignment="1" applyProtection="1">
      <alignment horizontal="center" wrapText="1"/>
    </xf>
    <xf numFmtId="0" fontId="31" fillId="6" borderId="35" xfId="6" applyFont="1" applyFill="1" applyBorder="1" applyAlignment="1" applyProtection="1">
      <alignment horizontal="center" wrapText="1"/>
    </xf>
    <xf numFmtId="49" fontId="31" fillId="6" borderId="0" xfId="6" applyNumberFormat="1" applyFont="1" applyFill="1" applyBorder="1" applyAlignment="1" applyProtection="1">
      <alignment horizontal="left" vertical="top" wrapText="1"/>
    </xf>
    <xf numFmtId="0" fontId="6" fillId="0" borderId="12" xfId="0" applyFont="1" applyBorder="1" applyAlignment="1">
      <alignment horizontal="center" wrapText="1"/>
    </xf>
    <xf numFmtId="0" fontId="6" fillId="0" borderId="7" xfId="0" applyFont="1" applyBorder="1" applyAlignment="1">
      <alignment horizontal="center" wrapText="1"/>
    </xf>
    <xf numFmtId="0" fontId="6" fillId="0" borderId="13" xfId="0" applyFont="1" applyBorder="1" applyAlignment="1">
      <alignment horizontal="center" wrapText="1"/>
    </xf>
    <xf numFmtId="0" fontId="31" fillId="6" borderId="0" xfId="6" applyFont="1" applyFill="1" applyAlignment="1" applyProtection="1">
      <alignment wrapText="1"/>
    </xf>
    <xf numFmtId="0" fontId="31" fillId="6" borderId="0" xfId="6" applyFont="1" applyFill="1" applyBorder="1" applyAlignment="1" applyProtection="1">
      <alignment wrapText="1"/>
    </xf>
    <xf numFmtId="0" fontId="31" fillId="6" borderId="0" xfId="6" applyFont="1" applyFill="1" applyAlignment="1" applyProtection="1">
      <alignment horizontal="left" vertical="top" wrapText="1"/>
    </xf>
    <xf numFmtId="37" fontId="0" fillId="0" borderId="9" xfId="0" applyNumberFormat="1" applyBorder="1" applyAlignment="1" applyProtection="1">
      <alignment horizontal="right"/>
      <protection locked="0"/>
    </xf>
    <xf numFmtId="37" fontId="0" fillId="0" borderId="4" xfId="0" applyNumberFormat="1" applyBorder="1" applyAlignment="1" applyProtection="1">
      <alignment horizontal="right"/>
      <protection locked="0"/>
    </xf>
    <xf numFmtId="37" fontId="0" fillId="0" borderId="8" xfId="0" applyNumberFormat="1" applyBorder="1" applyAlignment="1" applyProtection="1">
      <alignment horizontal="right"/>
      <protection locked="0"/>
    </xf>
    <xf numFmtId="0" fontId="6" fillId="0" borderId="2" xfId="0" applyFont="1" applyBorder="1" applyAlignment="1">
      <alignment horizontal="center" wrapText="1"/>
    </xf>
    <xf numFmtId="0" fontId="6" fillId="0" borderId="14" xfId="0" applyFont="1" applyBorder="1" applyAlignment="1">
      <alignment horizontal="center" wrapText="1"/>
    </xf>
    <xf numFmtId="49" fontId="50" fillId="4" borderId="12" xfId="0" applyNumberFormat="1" applyFont="1" applyFill="1" applyBorder="1" applyAlignment="1" applyProtection="1">
      <alignment vertical="top" wrapText="1"/>
      <protection locked="0"/>
    </xf>
    <xf numFmtId="49" fontId="0" fillId="4" borderId="7" xfId="0" applyNumberFormat="1" applyFill="1" applyBorder="1" applyAlignment="1" applyProtection="1">
      <alignment horizontal="left" vertical="top" wrapText="1"/>
      <protection locked="0"/>
    </xf>
    <xf numFmtId="49" fontId="0" fillId="4" borderId="13" xfId="0" applyNumberFormat="1" applyFill="1" applyBorder="1" applyAlignment="1" applyProtection="1">
      <alignment horizontal="left" vertical="top" wrapText="1"/>
      <protection locked="0"/>
    </xf>
    <xf numFmtId="49" fontId="0" fillId="4" borderId="16" xfId="0" applyNumberFormat="1" applyFill="1" applyBorder="1" applyAlignment="1" applyProtection="1">
      <alignment horizontal="left" vertical="top" wrapText="1"/>
      <protection locked="0"/>
    </xf>
    <xf numFmtId="49" fontId="0" fillId="4" borderId="3" xfId="0" applyNumberFormat="1" applyFill="1" applyBorder="1" applyAlignment="1" applyProtection="1">
      <alignment horizontal="left" vertical="top" wrapText="1"/>
      <protection locked="0"/>
    </xf>
    <xf numFmtId="49" fontId="0" fillId="4" borderId="14" xfId="0" applyNumberFormat="1" applyFill="1" applyBorder="1" applyAlignment="1" applyProtection="1">
      <alignment horizontal="left" vertical="top" wrapText="1"/>
      <protection locked="0"/>
    </xf>
    <xf numFmtId="37" fontId="0" fillId="0" borderId="16" xfId="0" applyNumberFormat="1" applyBorder="1" applyAlignment="1" applyProtection="1">
      <alignment horizontal="right"/>
      <protection locked="0"/>
    </xf>
    <xf numFmtId="37" fontId="0" fillId="0" borderId="3" xfId="0" applyNumberFormat="1" applyBorder="1" applyAlignment="1" applyProtection="1">
      <alignment horizontal="right"/>
      <protection locked="0"/>
    </xf>
    <xf numFmtId="37" fontId="0" fillId="0" borderId="17" xfId="0" applyNumberFormat="1" applyBorder="1" applyAlignment="1" applyProtection="1">
      <alignment horizontal="right"/>
      <protection locked="0"/>
    </xf>
    <xf numFmtId="0" fontId="6" fillId="0" borderId="16" xfId="0" applyFont="1" applyBorder="1" applyAlignment="1">
      <alignment horizontal="center" wrapText="1"/>
    </xf>
    <xf numFmtId="0" fontId="6" fillId="0" borderId="17" xfId="0" applyFont="1" applyBorder="1" applyAlignment="1">
      <alignment horizontal="center" wrapText="1"/>
    </xf>
    <xf numFmtId="37" fontId="0" fillId="0" borderId="12" xfId="0" applyNumberFormat="1" applyBorder="1" applyAlignment="1" applyProtection="1">
      <alignment horizontal="right"/>
      <protection locked="0"/>
    </xf>
    <xf numFmtId="37" fontId="0" fillId="0" borderId="7" xfId="0" applyNumberFormat="1" applyBorder="1" applyAlignment="1" applyProtection="1">
      <alignment horizontal="right"/>
      <protection locked="0"/>
    </xf>
    <xf numFmtId="37" fontId="0" fillId="0" borderId="13" xfId="0" applyNumberFormat="1" applyBorder="1" applyAlignment="1" applyProtection="1">
      <alignment horizontal="right"/>
      <protection locked="0"/>
    </xf>
    <xf numFmtId="0" fontId="6" fillId="0" borderId="0" xfId="0" applyFont="1" applyAlignment="1">
      <alignment horizontal="center" wrapText="1"/>
    </xf>
    <xf numFmtId="0" fontId="6" fillId="0" borderId="3" xfId="0" applyFont="1" applyBorder="1" applyAlignment="1">
      <alignment horizontal="center" wrapText="1"/>
    </xf>
    <xf numFmtId="37" fontId="50" fillId="0" borderId="10" xfId="0" applyNumberFormat="1" applyFont="1" applyBorder="1"/>
    <xf numFmtId="37" fontId="0" fillId="0" borderId="33" xfId="0" applyNumberFormat="1" applyBorder="1" applyAlignment="1">
      <alignment horizontal="right"/>
    </xf>
    <xf numFmtId="0" fontId="12" fillId="6" borderId="0" xfId="6" applyFont="1" applyFill="1" applyAlignment="1" applyProtection="1">
      <alignment horizontal="left" vertical="center" wrapText="1"/>
    </xf>
    <xf numFmtId="0" fontId="12" fillId="6" borderId="0" xfId="6" applyFont="1" applyFill="1" applyBorder="1" applyAlignment="1" applyProtection="1">
      <alignment horizontal="left" vertical="center" wrapText="1"/>
    </xf>
    <xf numFmtId="37" fontId="50" fillId="0" borderId="10" xfId="0" applyNumberFormat="1" applyFont="1" applyBorder="1" applyAlignment="1" applyProtection="1">
      <alignment vertical="center"/>
      <protection locked="0"/>
    </xf>
    <xf numFmtId="37" fontId="0" fillId="0" borderId="33" xfId="0" applyNumberFormat="1" applyBorder="1" applyAlignment="1" applyProtection="1">
      <alignment horizontal="right" vertical="center"/>
      <protection locked="0"/>
    </xf>
    <xf numFmtId="37" fontId="50" fillId="4" borderId="5" xfId="0" applyNumberFormat="1" applyFont="1" applyFill="1" applyBorder="1"/>
    <xf numFmtId="37" fontId="0" fillId="4" borderId="21" xfId="0" applyNumberFormat="1" applyFill="1" applyBorder="1"/>
    <xf numFmtId="0" fontId="31" fillId="6" borderId="0" xfId="6" applyFont="1" applyFill="1" applyAlignment="1" applyProtection="1">
      <alignment horizontal="left"/>
    </xf>
    <xf numFmtId="0" fontId="0" fillId="0" borderId="0" xfId="6" applyFont="1" applyFill="1" applyBorder="1" applyAlignment="1" applyProtection="1">
      <alignment horizontal="left" wrapText="1"/>
    </xf>
    <xf numFmtId="0" fontId="31" fillId="6" borderId="0" xfId="6" applyFont="1" applyFill="1" applyAlignment="1" applyProtection="1">
      <alignment vertical="top" wrapText="1"/>
    </xf>
    <xf numFmtId="0" fontId="16" fillId="6" borderId="0" xfId="6" applyFont="1" applyFill="1" applyAlignment="1" applyProtection="1">
      <alignment horizontal="center"/>
    </xf>
    <xf numFmtId="0" fontId="31" fillId="6" borderId="0" xfId="6" applyFont="1" applyFill="1" applyBorder="1" applyAlignment="1" applyProtection="1">
      <alignment horizontal="center"/>
    </xf>
    <xf numFmtId="0" fontId="0" fillId="0" borderId="16" xfId="0" applyBorder="1" applyAlignment="1">
      <alignment horizontal="center"/>
    </xf>
    <xf numFmtId="0" fontId="0" fillId="0" borderId="17" xfId="0" applyBorder="1" applyAlignment="1">
      <alignment horizontal="center"/>
    </xf>
    <xf numFmtId="0" fontId="67" fillId="17" borderId="0" xfId="0" applyFont="1" applyFill="1" applyAlignment="1">
      <alignment wrapText="1"/>
    </xf>
    <xf numFmtId="168" fontId="31" fillId="6" borderId="0" xfId="6" applyNumberFormat="1" applyFont="1" applyFill="1" applyBorder="1" applyAlignment="1" applyProtection="1">
      <alignment horizontal="left"/>
    </xf>
    <xf numFmtId="0" fontId="67" fillId="0" borderId="0" xfId="0" applyFont="1" applyAlignment="1">
      <alignment wrapText="1"/>
    </xf>
    <xf numFmtId="168" fontId="67" fillId="5" borderId="0" xfId="0" applyNumberFormat="1" applyFont="1" applyFill="1" applyAlignment="1">
      <alignment horizontal="left"/>
    </xf>
    <xf numFmtId="168" fontId="67" fillId="5" borderId="14" xfId="0" applyNumberFormat="1" applyFont="1" applyFill="1" applyBorder="1" applyAlignment="1">
      <alignment horizontal="left"/>
    </xf>
    <xf numFmtId="168" fontId="0" fillId="5" borderId="0" xfId="0" applyNumberFormat="1" applyFill="1" applyAlignment="1">
      <alignment horizontal="left"/>
    </xf>
    <xf numFmtId="168" fontId="0" fillId="5" borderId="14" xfId="0" applyNumberFormat="1" applyFill="1" applyBorder="1" applyAlignment="1">
      <alignment horizontal="left"/>
    </xf>
    <xf numFmtId="168" fontId="29" fillId="5" borderId="0" xfId="0" applyNumberFormat="1" applyFont="1" applyFill="1" applyAlignment="1">
      <alignment horizontal="left"/>
    </xf>
    <xf numFmtId="0" fontId="0" fillId="0" borderId="0" xfId="0" quotePrefix="1" applyAlignment="1">
      <alignment horizontal="left"/>
    </xf>
    <xf numFmtId="168" fontId="5" fillId="5" borderId="0" xfId="0" applyNumberFormat="1" applyFont="1" applyFill="1" applyAlignment="1">
      <alignment horizontal="center"/>
    </xf>
    <xf numFmtId="0" fontId="0" fillId="0" borderId="1" xfId="0" applyBorder="1" applyAlignment="1">
      <alignment horizontal="center"/>
    </xf>
    <xf numFmtId="168" fontId="29" fillId="5" borderId="14" xfId="0" applyNumberFormat="1" applyFont="1" applyFill="1" applyBorder="1" applyAlignment="1">
      <alignment horizontal="left"/>
    </xf>
    <xf numFmtId="0" fontId="29" fillId="0" borderId="9" xfId="10" applyFont="1" applyBorder="1" applyAlignment="1">
      <alignment horizontal="left"/>
    </xf>
    <xf numFmtId="0" fontId="29" fillId="0" borderId="4" xfId="10" applyFont="1" applyBorder="1" applyAlignment="1">
      <alignment horizontal="left"/>
    </xf>
    <xf numFmtId="0" fontId="29" fillId="0" borderId="8" xfId="10" applyFont="1" applyBorder="1" applyAlignment="1">
      <alignment horizontal="left"/>
    </xf>
    <xf numFmtId="168" fontId="33" fillId="0" borderId="0" xfId="10" applyNumberFormat="1" applyFont="1" applyAlignment="1">
      <alignment horizontal="center" vertical="center" wrapText="1"/>
    </xf>
    <xf numFmtId="168" fontId="33" fillId="0" borderId="0" xfId="10" quotePrefix="1" applyNumberFormat="1" applyFont="1" applyAlignment="1">
      <alignment horizontal="center" vertical="center" wrapText="1"/>
    </xf>
    <xf numFmtId="0" fontId="16" fillId="6" borderId="9" xfId="6" applyFont="1" applyFill="1" applyBorder="1" applyProtection="1"/>
    <xf numFmtId="0" fontId="16" fillId="6" borderId="4" xfId="6" applyFont="1" applyFill="1" applyBorder="1" applyProtection="1"/>
    <xf numFmtId="0" fontId="16" fillId="6" borderId="8" xfId="6" applyFont="1" applyFill="1" applyBorder="1" applyProtection="1"/>
    <xf numFmtId="168" fontId="29" fillId="5" borderId="0" xfId="10" applyNumberFormat="1" applyFont="1" applyFill="1" applyAlignment="1">
      <alignment horizontal="left"/>
    </xf>
    <xf numFmtId="0" fontId="0" fillId="0" borderId="9"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6" fillId="6" borderId="12" xfId="6" applyFont="1" applyFill="1" applyBorder="1" applyProtection="1"/>
    <xf numFmtId="0" fontId="16" fillId="6" borderId="7" xfId="6" applyFont="1" applyFill="1" applyBorder="1" applyProtection="1"/>
    <xf numFmtId="0" fontId="16" fillId="6" borderId="13" xfId="6" applyFont="1" applyFill="1" applyBorder="1" applyProtection="1"/>
    <xf numFmtId="0" fontId="16" fillId="6" borderId="16" xfId="6" applyFont="1" applyFill="1" applyBorder="1" applyProtection="1"/>
    <xf numFmtId="0" fontId="16" fillId="6" borderId="17" xfId="6" applyFont="1" applyFill="1" applyBorder="1" applyProtection="1"/>
    <xf numFmtId="0" fontId="29" fillId="0" borderId="9" xfId="0" applyFont="1" applyBorder="1"/>
    <xf numFmtId="0" fontId="29" fillId="0" borderId="4" xfId="0" applyFont="1" applyBorder="1"/>
    <xf numFmtId="0" fontId="29" fillId="0" borderId="8" xfId="0" applyFont="1" applyBorder="1"/>
    <xf numFmtId="168" fontId="44" fillId="0" borderId="7" xfId="12" applyNumberFormat="1" applyFont="1" applyFill="1" applyBorder="1" applyAlignment="1" applyProtection="1">
      <alignment horizontal="left" vertical="top"/>
    </xf>
    <xf numFmtId="168" fontId="44" fillId="0" borderId="0" xfId="12" applyNumberFormat="1" applyFont="1" applyFill="1" applyBorder="1" applyAlignment="1" applyProtection="1">
      <alignment horizontal="left" vertical="top"/>
    </xf>
    <xf numFmtId="0" fontId="53" fillId="0" borderId="9" xfId="10" applyFont="1" applyBorder="1" applyAlignment="1">
      <alignment horizontal="center"/>
    </xf>
    <xf numFmtId="0" fontId="53" fillId="0" borderId="4" xfId="10" applyFont="1" applyBorder="1" applyAlignment="1">
      <alignment horizontal="center"/>
    </xf>
    <xf numFmtId="0" fontId="53" fillId="0" borderId="8" xfId="10" applyFont="1" applyBorder="1" applyAlignment="1">
      <alignment horizontal="center"/>
    </xf>
    <xf numFmtId="168" fontId="29" fillId="5" borderId="10" xfId="10" applyNumberFormat="1" applyFont="1" applyFill="1" applyBorder="1" applyAlignment="1">
      <alignment horizontal="center" vertical="center"/>
    </xf>
    <xf numFmtId="168" fontId="29" fillId="5" borderId="15" xfId="10" applyNumberFormat="1" applyFont="1" applyFill="1" applyBorder="1" applyAlignment="1">
      <alignment horizontal="center" vertical="center"/>
    </xf>
    <xf numFmtId="168" fontId="29" fillId="5" borderId="5" xfId="10" applyNumberFormat="1" applyFont="1" applyFill="1" applyBorder="1" applyAlignment="1">
      <alignment horizontal="center" vertical="center"/>
    </xf>
    <xf numFmtId="168" fontId="53" fillId="5" borderId="0" xfId="10" applyNumberFormat="1" applyFont="1" applyFill="1"/>
    <xf numFmtId="168" fontId="53" fillId="5" borderId="14" xfId="10" applyNumberFormat="1" applyFont="1" applyFill="1" applyBorder="1"/>
    <xf numFmtId="168" fontId="53" fillId="5" borderId="3" xfId="10" applyNumberFormat="1" applyFont="1" applyFill="1" applyBorder="1"/>
    <xf numFmtId="168" fontId="53" fillId="5" borderId="17" xfId="10" applyNumberFormat="1" applyFont="1" applyFill="1" applyBorder="1"/>
    <xf numFmtId="168" fontId="33" fillId="0" borderId="0" xfId="10" applyNumberFormat="1" applyFont="1" applyAlignment="1">
      <alignment horizontal="center" wrapText="1"/>
    </xf>
    <xf numFmtId="0" fontId="29" fillId="0" borderId="3" xfId="10" applyFont="1" applyBorder="1" applyAlignment="1">
      <alignment horizontal="center"/>
    </xf>
    <xf numFmtId="168" fontId="16" fillId="6" borderId="10" xfId="12" applyNumberFormat="1" applyFont="1" applyFill="1" applyBorder="1" applyAlignment="1" applyProtection="1">
      <alignment horizontal="center" wrapText="1"/>
    </xf>
    <xf numFmtId="168" fontId="16" fillId="6" borderId="5" xfId="12" applyNumberFormat="1" applyFont="1" applyFill="1" applyBorder="1" applyAlignment="1" applyProtection="1">
      <alignment horizontal="center" wrapText="1"/>
    </xf>
    <xf numFmtId="168" fontId="32" fillId="6" borderId="10" xfId="12" applyNumberFormat="1" applyFont="1" applyFill="1" applyBorder="1" applyAlignment="1" applyProtection="1">
      <alignment horizontal="center" wrapText="1"/>
    </xf>
    <xf numFmtId="168" fontId="32" fillId="6" borderId="5" xfId="12" applyNumberFormat="1" applyFont="1" applyFill="1" applyBorder="1" applyAlignment="1" applyProtection="1">
      <alignment horizontal="center" wrapText="1"/>
    </xf>
    <xf numFmtId="49" fontId="0" fillId="5" borderId="2" xfId="0" applyNumberFormat="1" applyFill="1" applyBorder="1" applyAlignment="1">
      <alignment horizontal="left" wrapText="1"/>
    </xf>
    <xf numFmtId="49" fontId="0" fillId="5" borderId="0" xfId="0" applyNumberFormat="1" applyFill="1" applyAlignment="1">
      <alignment horizontal="left" wrapText="1"/>
    </xf>
    <xf numFmtId="0" fontId="66" fillId="0" borderId="0" xfId="0" applyFont="1" applyAlignment="1">
      <alignment horizontal="center"/>
    </xf>
    <xf numFmtId="49" fontId="0" fillId="5" borderId="16" xfId="0" applyNumberFormat="1" applyFill="1" applyBorder="1" applyAlignment="1">
      <alignment wrapText="1"/>
    </xf>
    <xf numFmtId="49" fontId="0" fillId="5" borderId="3" xfId="0" applyNumberFormat="1" applyFill="1" applyBorder="1" applyAlignment="1">
      <alignment wrapText="1"/>
    </xf>
    <xf numFmtId="0" fontId="5" fillId="0" borderId="0" xfId="0" applyFont="1" applyAlignment="1">
      <alignment horizontal="right"/>
    </xf>
    <xf numFmtId="0" fontId="65" fillId="6" borderId="10" xfId="6" applyFont="1" applyFill="1" applyBorder="1" applyAlignment="1" applyProtection="1">
      <alignment horizontal="center"/>
    </xf>
    <xf numFmtId="0" fontId="65" fillId="6" borderId="5" xfId="6" applyFont="1" applyFill="1" applyBorder="1" applyAlignment="1" applyProtection="1">
      <alignment horizontal="center"/>
    </xf>
    <xf numFmtId="0" fontId="65" fillId="6" borderId="10" xfId="6" applyFont="1" applyFill="1" applyBorder="1" applyAlignment="1" applyProtection="1">
      <alignment horizontal="center" wrapText="1"/>
    </xf>
    <xf numFmtId="0" fontId="65" fillId="6" borderId="5" xfId="6" applyFont="1" applyFill="1" applyBorder="1" applyAlignment="1" applyProtection="1">
      <alignment horizontal="center" wrapText="1"/>
    </xf>
    <xf numFmtId="38" fontId="48" fillId="0" borderId="24" xfId="13" applyNumberFormat="1" applyFont="1" applyBorder="1" applyAlignment="1">
      <alignment horizontal="center" wrapText="1"/>
    </xf>
    <xf numFmtId="38" fontId="48" fillId="0" borderId="15" xfId="13" applyNumberFormat="1" applyFont="1" applyBorder="1" applyAlignment="1">
      <alignment horizontal="center" wrapText="1"/>
    </xf>
    <xf numFmtId="38" fontId="48" fillId="0" borderId="10" xfId="13" applyNumberFormat="1" applyFont="1" applyBorder="1" applyAlignment="1">
      <alignment horizontal="center" wrapText="1"/>
    </xf>
    <xf numFmtId="0" fontId="64" fillId="0" borderId="3" xfId="13" applyBorder="1" applyAlignment="1">
      <alignment horizontal="center"/>
    </xf>
    <xf numFmtId="37" fontId="48" fillId="0" borderId="22" xfId="13" applyNumberFormat="1" applyFont="1" applyBorder="1" applyAlignment="1">
      <alignment horizontal="center" wrapText="1"/>
    </xf>
    <xf numFmtId="37" fontId="48" fillId="0" borderId="25" xfId="13" applyNumberFormat="1" applyFont="1" applyBorder="1" applyAlignment="1">
      <alignment horizontal="center" wrapText="1"/>
    </xf>
    <xf numFmtId="37" fontId="48" fillId="0" borderId="27" xfId="13" applyNumberFormat="1" applyFont="1" applyBorder="1" applyAlignment="1">
      <alignment horizontal="center" wrapText="1"/>
    </xf>
    <xf numFmtId="9" fontId="0" fillId="0" borderId="12" xfId="0" applyNumberFormat="1" applyBorder="1" applyAlignment="1" applyProtection="1">
      <alignment horizontal="center" wrapText="1"/>
      <protection locked="0"/>
    </xf>
    <xf numFmtId="9" fontId="0" fillId="0" borderId="7" xfId="0" applyNumberFormat="1" applyBorder="1" applyAlignment="1" applyProtection="1">
      <alignment horizontal="center" wrapText="1"/>
      <protection locked="0"/>
    </xf>
    <xf numFmtId="9" fontId="0" fillId="0" borderId="13" xfId="0" applyNumberFormat="1" applyBorder="1" applyAlignment="1" applyProtection="1">
      <alignment horizontal="center" wrapText="1"/>
      <protection locked="0"/>
    </xf>
    <xf numFmtId="9" fontId="0" fillId="0" borderId="2" xfId="0" applyNumberFormat="1" applyBorder="1" applyAlignment="1" applyProtection="1">
      <alignment horizontal="center" wrapText="1"/>
      <protection locked="0"/>
    </xf>
    <xf numFmtId="9" fontId="0" fillId="0" borderId="0" xfId="0" applyNumberFormat="1" applyAlignment="1" applyProtection="1">
      <alignment horizontal="center" wrapText="1"/>
      <protection locked="0"/>
    </xf>
    <xf numFmtId="9" fontId="0" fillId="0" borderId="14" xfId="0" applyNumberFormat="1" applyBorder="1" applyAlignment="1" applyProtection="1">
      <alignment horizontal="center" wrapText="1"/>
      <protection locked="0"/>
    </xf>
    <xf numFmtId="9" fontId="0" fillId="0" borderId="16" xfId="0" applyNumberFormat="1" applyBorder="1" applyAlignment="1" applyProtection="1">
      <alignment horizontal="center" wrapText="1"/>
      <protection locked="0"/>
    </xf>
    <xf numFmtId="9" fontId="0" fillId="0" borderId="3" xfId="0" applyNumberFormat="1" applyBorder="1" applyAlignment="1" applyProtection="1">
      <alignment horizontal="center" wrapText="1"/>
      <protection locked="0"/>
    </xf>
    <xf numFmtId="9" fontId="0" fillId="0" borderId="17" xfId="0" applyNumberFormat="1" applyBorder="1" applyAlignment="1" applyProtection="1">
      <alignment horizontal="center" wrapText="1"/>
      <protection locked="0"/>
    </xf>
    <xf numFmtId="0" fontId="5" fillId="0" borderId="9" xfId="0" applyFont="1" applyBorder="1" applyAlignment="1">
      <alignment horizontal="left" wrapText="1"/>
    </xf>
    <xf numFmtId="0" fontId="5" fillId="0" borderId="4" xfId="0" applyFont="1" applyBorder="1" applyAlignment="1">
      <alignment horizontal="left" wrapText="1"/>
    </xf>
    <xf numFmtId="0" fontId="5" fillId="0" borderId="8" xfId="0" applyFont="1" applyBorder="1" applyAlignment="1">
      <alignment horizontal="left" wrapText="1"/>
    </xf>
    <xf numFmtId="9" fontId="0" fillId="0" borderId="9" xfId="0" applyNumberFormat="1" applyBorder="1" applyAlignment="1" applyProtection="1">
      <alignment horizontal="center" wrapText="1"/>
      <protection locked="0"/>
    </xf>
    <xf numFmtId="9" fontId="0" fillId="0" borderId="4" xfId="0" applyNumberFormat="1" applyBorder="1" applyAlignment="1" applyProtection="1">
      <alignment horizontal="center" wrapText="1"/>
      <protection locked="0"/>
    </xf>
    <xf numFmtId="9" fontId="0" fillId="0" borderId="8" xfId="0" applyNumberFormat="1" applyBorder="1" applyAlignment="1" applyProtection="1">
      <alignment horizontal="center" wrapText="1"/>
      <protection locked="0"/>
    </xf>
    <xf numFmtId="0" fontId="0" fillId="0" borderId="9"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8" xfId="0" applyBorder="1" applyAlignment="1" applyProtection="1">
      <alignment horizontal="center" wrapText="1"/>
      <protection locked="0"/>
    </xf>
    <xf numFmtId="168" fontId="55" fillId="6" borderId="0" xfId="6" applyNumberFormat="1" applyFont="1" applyFill="1" applyAlignment="1" applyProtection="1">
      <alignment horizontal="left"/>
    </xf>
    <xf numFmtId="0" fontId="0" fillId="0" borderId="0" xfId="0" applyAlignment="1">
      <alignment horizontal="left" vertical="top" wrapText="1"/>
    </xf>
    <xf numFmtId="0" fontId="0" fillId="0" borderId="14" xfId="0" applyBorder="1" applyAlignment="1">
      <alignment horizontal="left" vertical="top" wrapText="1"/>
    </xf>
    <xf numFmtId="37" fontId="5" fillId="0" borderId="0" xfId="8" applyNumberFormat="1" applyFont="1" applyAlignment="1">
      <alignment horizontal="left" wrapText="1"/>
    </xf>
    <xf numFmtId="168" fontId="32" fillId="6" borderId="0" xfId="6" applyNumberFormat="1" applyFont="1" applyFill="1" applyAlignment="1" applyProtection="1">
      <alignment horizontal="left"/>
    </xf>
    <xf numFmtId="0" fontId="0" fillId="0" borderId="0" xfId="0" quotePrefix="1" applyAlignment="1">
      <alignment horizontal="right" vertical="top"/>
    </xf>
    <xf numFmtId="0" fontId="53" fillId="0" borderId="0" xfId="0" applyFont="1"/>
    <xf numFmtId="0" fontId="53" fillId="0" borderId="0" xfId="0" applyFont="1" applyAlignment="1">
      <alignment horizontal="left" vertical="top" wrapText="1"/>
    </xf>
    <xf numFmtId="0" fontId="29" fillId="0" borderId="0" xfId="0" applyFont="1" applyAlignment="1">
      <alignment horizontal="left" vertical="top" wrapText="1"/>
    </xf>
    <xf numFmtId="0" fontId="29" fillId="0" borderId="14" xfId="0" applyFont="1" applyBorder="1" applyAlignment="1">
      <alignment horizontal="left" vertical="top" wrapText="1"/>
    </xf>
    <xf numFmtId="0" fontId="57" fillId="0" borderId="9" xfId="7" applyFont="1" applyBorder="1" applyAlignment="1">
      <alignment horizontal="center"/>
    </xf>
    <xf numFmtId="0" fontId="57" fillId="0" borderId="4" xfId="7" applyFont="1" applyBorder="1" applyAlignment="1">
      <alignment horizontal="center"/>
    </xf>
    <xf numFmtId="0" fontId="57" fillId="0" borderId="8" xfId="7" applyFont="1" applyBorder="1" applyAlignment="1">
      <alignment horizontal="center"/>
    </xf>
    <xf numFmtId="168" fontId="55" fillId="6" borderId="0" xfId="6" applyNumberFormat="1" applyFont="1" applyFill="1" applyAlignment="1" applyProtection="1">
      <alignment horizontal="center"/>
    </xf>
    <xf numFmtId="0" fontId="12" fillId="17" borderId="10" xfId="6" quotePrefix="1" applyFont="1" applyFill="1" applyBorder="1" applyAlignment="1" applyProtection="1">
      <alignment horizontal="center" vertical="top" wrapText="1"/>
    </xf>
    <xf numFmtId="0" fontId="12" fillId="17" borderId="5" xfId="6" quotePrefix="1" applyFont="1" applyFill="1" applyBorder="1" applyAlignment="1" applyProtection="1">
      <alignment horizontal="center" vertical="top" wrapText="1"/>
    </xf>
    <xf numFmtId="0" fontId="67" fillId="17" borderId="10" xfId="0" applyFont="1" applyFill="1" applyBorder="1" applyAlignment="1">
      <alignment horizontal="center" vertical="top" wrapText="1"/>
    </xf>
    <xf numFmtId="0" fontId="67" fillId="17" borderId="16" xfId="0" applyFont="1" applyFill="1" applyBorder="1" applyAlignment="1">
      <alignment horizontal="center" vertical="top" wrapText="1"/>
    </xf>
    <xf numFmtId="168" fontId="12" fillId="5" borderId="12" xfId="6" applyNumberFormat="1" applyFont="1" applyFill="1" applyBorder="1" applyAlignment="1" applyProtection="1">
      <alignment horizontal="center" vertical="center"/>
    </xf>
    <xf numFmtId="168" fontId="12" fillId="5" borderId="13" xfId="6" applyNumberFormat="1" applyFont="1" applyFill="1" applyBorder="1" applyAlignment="1" applyProtection="1">
      <alignment horizontal="center" vertical="center"/>
    </xf>
    <xf numFmtId="168" fontId="12" fillId="5" borderId="2" xfId="6" applyNumberFormat="1" applyFont="1" applyFill="1" applyBorder="1" applyAlignment="1" applyProtection="1">
      <alignment horizontal="center" vertical="center"/>
    </xf>
    <xf numFmtId="168" fontId="12" fillId="5" borderId="14" xfId="6" applyNumberFormat="1" applyFont="1" applyFill="1" applyBorder="1" applyAlignment="1" applyProtection="1">
      <alignment horizontal="center" vertical="center"/>
    </xf>
    <xf numFmtId="168" fontId="12" fillId="5" borderId="16" xfId="6" applyNumberFormat="1" applyFont="1" applyFill="1" applyBorder="1" applyAlignment="1" applyProtection="1">
      <alignment horizontal="center" vertical="center"/>
    </xf>
    <xf numFmtId="168" fontId="12" fillId="5" borderId="17" xfId="6" applyNumberFormat="1" applyFont="1" applyFill="1" applyBorder="1" applyAlignment="1" applyProtection="1">
      <alignment horizontal="center" vertical="center"/>
    </xf>
    <xf numFmtId="168" fontId="31" fillId="5" borderId="10" xfId="6" applyNumberFormat="1" applyFont="1" applyFill="1" applyBorder="1" applyAlignment="1" applyProtection="1">
      <alignment horizontal="center" vertical="top" wrapText="1"/>
    </xf>
    <xf numFmtId="168" fontId="31" fillId="5" borderId="5" xfId="6" applyNumberFormat="1" applyFont="1" applyFill="1" applyBorder="1" applyAlignment="1" applyProtection="1">
      <alignment horizontal="center" vertical="top" wrapText="1"/>
    </xf>
    <xf numFmtId="168" fontId="0" fillId="0" borderId="10" xfId="0" applyNumberFormat="1" applyBorder="1" applyAlignment="1">
      <alignment horizontal="center" vertical="top"/>
    </xf>
    <xf numFmtId="168" fontId="0" fillId="0" borderId="5" xfId="0" applyNumberFormat="1" applyBorder="1" applyAlignment="1">
      <alignment horizontal="center" vertical="top"/>
    </xf>
    <xf numFmtId="0" fontId="12" fillId="0" borderId="13" xfId="6" applyFont="1" applyFill="1" applyBorder="1" applyAlignment="1" applyProtection="1">
      <alignment horizontal="center" vertical="top"/>
    </xf>
    <xf numFmtId="0" fontId="12" fillId="0" borderId="17" xfId="6" applyFont="1" applyFill="1" applyBorder="1" applyAlignment="1" applyProtection="1">
      <alignment horizontal="center" vertical="top"/>
    </xf>
    <xf numFmtId="168" fontId="0" fillId="0" borderId="10" xfId="0" applyNumberFormat="1" applyBorder="1" applyAlignment="1">
      <alignment horizontal="center" vertical="top" wrapText="1"/>
    </xf>
    <xf numFmtId="168" fontId="0" fillId="0" borderId="16" xfId="0" applyNumberFormat="1" applyBorder="1" applyAlignment="1">
      <alignment horizontal="center" vertical="top" wrapText="1"/>
    </xf>
  </cellXfs>
  <cellStyles count="15">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Hyperlink 2" xfId="12" xr:uid="{00000000-0005-0000-0000-00000C000000}"/>
    <cellStyle name="Hyperlink 3" xfId="14" xr:uid="{00000000-0005-0000-0000-00000E000000}"/>
    <cellStyle name="Normal" xfId="0" builtinId="0"/>
    <cellStyle name="Normal 2" xfId="7" xr:uid="{00000000-0005-0000-0000-000007000000}"/>
    <cellStyle name="Normal 2 2" xfId="11" xr:uid="{00000000-0005-0000-0000-00000B000000}"/>
    <cellStyle name="Normal 3" xfId="8" xr:uid="{00000000-0005-0000-0000-000008000000}"/>
    <cellStyle name="Normal 4" xfId="10" xr:uid="{00000000-0005-0000-0000-00000A000000}"/>
    <cellStyle name="Normal 5" xfId="13" xr:uid="{00000000-0005-0000-0000-00000D000000}"/>
    <cellStyle name="Normal_budget03" xfId="9" xr:uid="{00000000-0005-0000-0000-000009000000}"/>
    <cellStyle name="Percent" xfId="1" xr:uid="{00000000-0005-0000-0000-000001000000}"/>
  </cellStyles>
  <dxfs count="8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5050"/>
        </patternFill>
      </fill>
    </dxf>
    <dxf>
      <fill>
        <patternFill>
          <bgColor rgb="FFFF5050"/>
        </patternFill>
      </fill>
    </dxf>
    <dxf>
      <fill>
        <patternFill>
          <bgColor rgb="FFFF0000"/>
        </patternFill>
      </fill>
    </dxf>
    <dxf>
      <fill>
        <patternFill>
          <bgColor rgb="FFFFC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none"/>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ont>
        <b/>
        <i/>
      </font>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patternType="none"/>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patternType="none"/>
      </fill>
    </dxf>
  </dxfs>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Accounting_Data_Tab"/></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1721485</xdr:colOff>
      <xdr:row>0</xdr:row>
      <xdr:rowOff>261620</xdr:rowOff>
    </xdr:to>
    <xdr:sp macro="" textlink="">
      <xdr:nvSpPr>
        <xdr:cNvPr id="156" name="TextBox 4">
          <a:hlinkClick xmlns:r="http://schemas.openxmlformats.org/officeDocument/2006/relationships" r:id="rId1"/>
          <a:extLst>
            <a:ext uri="{FF2B5EF4-FFF2-40B4-BE49-F238E27FC236}">
              <a16:creationId xmlns:a16="http://schemas.microsoft.com/office/drawing/2014/main" id="{00000000-0008-0000-1100-00009C000000}"/>
            </a:ext>
          </a:extLst>
        </xdr:cNvPr>
        <xdr:cNvSpPr txBox="1"/>
      </xdr:nvSpPr>
      <xdr:spPr>
        <a:xfrm>
          <a:off x="0" y="0"/>
          <a:ext cx="4769485" cy="26162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b="1"/>
            <a:t>Accounting</a:t>
          </a:r>
          <a:r>
            <a:rPr lang="en-US" sz="1200" b="1" baseline="0"/>
            <a:t> data tab instructions </a:t>
          </a:r>
          <a:r>
            <a:rPr lang="en-US" sz="1100" b="1" baseline="0"/>
            <a:t>can</a:t>
          </a:r>
          <a:r>
            <a:rPr lang="en-US" sz="1200" b="1" baseline="0"/>
            <a:t> be </a:t>
          </a:r>
          <a:r>
            <a:rPr lang="en-US" sz="1100" b="1" baseline="0"/>
            <a:t>found</a:t>
          </a:r>
          <a:r>
            <a:rPr lang="en-US" sz="1200" b="1" baseline="0"/>
            <a:t> on the instructions tab.</a:t>
          </a:r>
          <a:endParaRPr lang="en-US" sz="1200" b="1"/>
        </a:p>
      </xdr:txBody>
    </xdr:sp>
    <xdr:clientData fPrintsWithSheet="0"/>
  </xdr:twoCellAnchor>
  <xdr:twoCellAnchor>
    <xdr:from>
      <xdr:col>1</xdr:col>
      <xdr:colOff>1781175</xdr:colOff>
      <xdr:row>0</xdr:row>
      <xdr:rowOff>0</xdr:rowOff>
    </xdr:from>
    <xdr:to>
      <xdr:col>3</xdr:col>
      <xdr:colOff>1295400</xdr:colOff>
      <xdr:row>0</xdr:row>
      <xdr:rowOff>314325</xdr:rowOff>
    </xdr:to>
    <xdr:sp macro="" textlink="">
      <xdr:nvSpPr>
        <xdr:cNvPr id="161" name="Rectangle 1">
          <a:extLst>
            <a:ext uri="{FF2B5EF4-FFF2-40B4-BE49-F238E27FC236}">
              <a16:creationId xmlns:a16="http://schemas.microsoft.com/office/drawing/2014/main" id="{00000000-0008-0000-1100-0000A1000000}"/>
            </a:ext>
          </a:extLst>
        </xdr:cNvPr>
        <xdr:cNvSpPr/>
      </xdr:nvSpPr>
      <xdr:spPr>
        <a:xfrm>
          <a:off x="4524375" y="0"/>
          <a:ext cx="4267200" cy="314325"/>
        </a:xfrm>
        <a:prstGeom prst="rect">
          <a:avLst/>
        </a:prstGeom>
        <a:solidFill>
          <a:srgbClr val="D9D9D9"/>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r>
            <a:rPr lang="en-US" sz="1100" b="1">
              <a:solidFill>
                <a:schemeClr val="tx1"/>
              </a:solidFill>
            </a:rPr>
            <a:t>Accounting data must be reported</a:t>
          </a:r>
          <a:r>
            <a:rPr lang="en-US" sz="1100" b="1" baseline="0">
              <a:solidFill>
                <a:schemeClr val="tx1"/>
              </a:solidFill>
            </a:rPr>
            <a:t> in accordance with the USFRCS. </a:t>
          </a:r>
          <a:endParaRPr lang="en-US" sz="11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zauditor.sharepoint.com/sites/ASDonline/AFR%20and%20Budget%20Masks%20from%20ADE/AFR/FY%202025%20Charter%20School%20AFR/budget25.xlsx" TargetMode="External"/><Relationship Id="rId1" Type="http://schemas.openxmlformats.org/officeDocument/2006/relationships/externalLinkPath" Target="budget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azauditor.sharepoint.com/sites/ASDonline/AFR%20and%20Budget%20Masks%20from%20ADE/AFR/FY%202025%20Charter%20School%20AFR/afr24.xlsx" TargetMode="External"/><Relationship Id="rId1" Type="http://schemas.openxmlformats.org/officeDocument/2006/relationships/externalLinkPath" Target="afr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Charter Contacts"/>
      <sheetName val="Page 1"/>
      <sheetName val="Page 2"/>
      <sheetName val="Page 3"/>
      <sheetName val="Page 4"/>
      <sheetName val="Budget Summary"/>
      <sheetName val="Project balances"/>
      <sheetName val="Data Entry"/>
      <sheetName val="Calculations"/>
      <sheetName val="BSA55"/>
      <sheetName val="Instructions"/>
      <sheetName val="budget25"/>
    </sheetNames>
    <definedNames>
      <definedName name="_CSP1000" refersTo="='Page 3'!$K$8"/>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IP1072P265F1000" refersTo="='Page 4'!$N$30"/>
      <definedName name="CIP1072P265F2100" refersTo="='Page 4'!$N$32"/>
      <definedName name="CIP1072P265F2200" refersTo="='Page 4'!$N$33"/>
      <definedName name="CIP1072P265F2300" refersTo="='Page 4'!$N$34"/>
      <definedName name="CIP1072P265F2400" refersTo="='Page 4'!$N$35"/>
      <definedName name="CIP1072P265F2500" refersTo="='Page 4'!$N$36"/>
      <definedName name="CIP1072P265F2600" refersTo="='Page 4'!$N$37"/>
      <definedName name="CIP1072P265F2900" refersTo="='Page 4'!$N$38"/>
      <definedName name="CIP1072P435F2700" refersTo="='Page 4'!$N$42"/>
      <definedName name="FP11001130TitleI" refersTo="='Page 2'!$E$5"/>
      <definedName name="FP11401150TitleII" refersTo="='Page 2'!$E$6"/>
      <definedName name="FP1160TitleIV" refersTo="='Page 2'!$E$7"/>
      <definedName name="FP11701180TitleV" refersTo="='Page 2'!$E$8"/>
      <definedName name="FP1190TitleIII" refersTo="='Page 2'!$E$9"/>
      <definedName name="FP1200TitleVII" refersTo="='Page 2'!$E$10"/>
      <definedName name="FP1210TitleVI" refersTo="='Page 2'!$E$11"/>
      <definedName name="FP1220IDEA" refersTo="='Page 2'!$E$12"/>
      <definedName name="FP1230Johnson" refersTo="='Page 2'!$E$13"/>
      <definedName name="FP1240WIA" refersTo="='Page 2'!$E$14"/>
      <definedName name="FP1250AEA" refersTo="='Page 2'!$E$15"/>
      <definedName name="FP12601270VocEd" refersTo="='Page 2'!$E$16"/>
      <definedName name="FP1280TitleX" refersTo="='Page 2'!$E$17"/>
      <definedName name="FP1290Medicaid" refersTo="='Page 2'!$E$18"/>
      <definedName name="FP13__ImpactAid" refersTo="='Page 2'!$E$20"/>
      <definedName name="FP1300Charter" refersTo="='Page 2'!$E$19"/>
      <definedName name="FP13101399Other" refersTo="='Page 2'!$E$21"/>
      <definedName name="FP1420ExtendedSchool" refersTo="='Page 2'!$E$26"/>
      <definedName name="IIPClassSizeReduction" refersTo="='Page 2'!$N$22"/>
      <definedName name="IIPDropoutPreventionPrograms" refersTo="='Page 2'!$N$23"/>
      <definedName name="IIPInstructionalImprovementPrograms" refersTo="='Page 2'!$N$24"/>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2100" refersTo="='Page 4'!$N$11"/>
      <definedName name="SEIP1071P260F2200" refersTo="='Page 4'!$N$12"/>
      <definedName name="SEIP1071P260F2300" refersTo="='Page 4'!$N$13"/>
      <definedName name="SEIP1071P260F2400" refersTo="='Page 4'!$N$14"/>
      <definedName name="SEIP1071P260F2500" refersTo="='Page 4'!$N$15"/>
      <definedName name="SEIP1071P260F2600" refersTo="='Page 4'!$N$16"/>
      <definedName name="SEIP1071P260F2900" refersTo="='Page 4'!$N$17"/>
      <definedName name="SEIP1071P430F2700" refersTo="='Page 4'!$N$21"/>
      <definedName name="SP1000ClassSiteProj" refersTo="='Page 1'!$L$44"/>
      <definedName name="SP1000CompInstrProj" refersTo="='Page 1'!$L$47"/>
      <definedName name="SP1000FedStProj" refersTo="='Page 1'!$L$48"/>
      <definedName name="SP1000InstrImpProj" refersTo="='Page 1'!$L$45"/>
      <definedName name="SP1000P100F1000" refersTo="='Page 1'!$L$8"/>
      <definedName name="SP1000P100F2100" refersTo="='Page 1'!$L$10"/>
      <definedName name="SP1000P100F2200" refersTo="='Page 1'!$L$11"/>
      <definedName name="SP1000P100F2300" refersTo="='Page 1'!$L$12"/>
      <definedName name="SP1000P100F2400" refersTo="='Page 1'!$L$13"/>
      <definedName name="SP1000P100F2500" refersTo="='Page 1'!$L$14"/>
      <definedName name="SP1000P100F2600" refersTo="='Page 1'!$L$15"/>
      <definedName name="SP1000P100F2900" refersTo="='Page 1'!$L$16"/>
      <definedName name="SP1000P100F3000" refersTo="='Page 1'!$L$17"/>
      <definedName name="SP1000P100F4000" refersTo="='Page 1'!$L$18"/>
      <definedName name="SP1000P100F5000" refersTo="='Page 1'!$L$19"/>
      <definedName name="SP1000P200F1000" refersTo="='Page 1'!$L$25"/>
      <definedName name="SP1000P200F2100" refersTo="='Page 1'!$L$27"/>
      <definedName name="SP1000P200F2200" refersTo="='Page 1'!$L$28"/>
      <definedName name="SP1000P200F2300" refersTo="='Page 1'!$L$29"/>
      <definedName name="SP1000P200F2400" refersTo="='Page 1'!$L$30"/>
      <definedName name="SP1000P200F2500" refersTo="='Page 1'!$L$31"/>
      <definedName name="SP1000P200F2600" refersTo="='Page 1'!$L$32"/>
      <definedName name="SP1000P200F2900" refersTo="='Page 1'!$L$33"/>
      <definedName name="SP1000P200F3000" refersTo="='Page 1'!$L$34"/>
      <definedName name="SP1000P200F4000" refersTo="='Page 1'!$L$35"/>
      <definedName name="SP1000P200F5000" refersTo="='Page 1'!$L$36"/>
      <definedName name="SP1000P400" refersTo="='Page 1'!$L$39"/>
      <definedName name="SP1000P530" refersTo="='Page 1'!$L$40"/>
      <definedName name="SP1000P540" refersTo="='Page 1'!$L$41"/>
      <definedName name="SP1000P550" refersTo="='Page 1'!$L$42"/>
      <definedName name="SP1000P610" refersTo="='Page 1'!$L$20"/>
      <definedName name="SP1000P620" refersTo="='Page 1'!$L$21"/>
      <definedName name="SP1000P630700800900" refersTo="='Page 1'!$L$22"/>
      <definedName name="SP1000StruEngImmProj" refersTo="='Page 1'!$L$46"/>
      <definedName name="SP1400VocEd" refersTo="='Page 2'!$E$24"/>
      <definedName name="SP1410EarlyChildhoodBlockGrant" refersTo="='Page 2'!$E$25"/>
      <definedName name="SP1425AdultBasicEd" refersTo="='Page 2'!$E$27"/>
      <definedName name="SP1430ChemicalAbuse" refersTo="='Page 2'!$E$28"/>
      <definedName name="SP1435AcademicContests" refersTo="='Page 2'!$E$29"/>
      <definedName name="SP1450GiftedEd" refersTo="='Page 2'!$E$30"/>
      <definedName name="SP1460EnvironmentalSpecialPlate" refersTo="='Page 2'!$E$32"/>
      <definedName name="SP1465CharterSchool" refersTo="='Page 2'!$E$33"/>
      <definedName name="SP14701499Other" refersTo="='Page 2'!$E$35"/>
    </definedNames>
    <sheetDataSet>
      <sheetData sheetId="0"/>
      <sheetData sheetId="1"/>
      <sheetData sheetId="2">
        <row r="8">
          <cell r="L8">
            <v>1440491</v>
          </cell>
        </row>
        <row r="10">
          <cell r="L10">
            <v>23050</v>
          </cell>
        </row>
        <row r="11">
          <cell r="L11">
            <v>23250</v>
          </cell>
        </row>
        <row r="12">
          <cell r="L12">
            <v>0</v>
          </cell>
        </row>
        <row r="13">
          <cell r="L13">
            <v>503718</v>
          </cell>
        </row>
        <row r="14">
          <cell r="L14">
            <v>293994</v>
          </cell>
        </row>
        <row r="15">
          <cell r="L15">
            <v>225695</v>
          </cell>
        </row>
        <row r="16">
          <cell r="L16">
            <v>0</v>
          </cell>
        </row>
        <row r="17">
          <cell r="L17">
            <v>0</v>
          </cell>
        </row>
        <row r="18">
          <cell r="L18">
            <v>0</v>
          </cell>
        </row>
        <row r="19">
          <cell r="L19">
            <v>658145</v>
          </cell>
        </row>
        <row r="20">
          <cell r="L20">
            <v>75000</v>
          </cell>
        </row>
        <row r="21">
          <cell r="L21">
            <v>55000</v>
          </cell>
        </row>
        <row r="22">
          <cell r="L22">
            <v>0</v>
          </cell>
        </row>
        <row r="25">
          <cell r="L25">
            <v>35000</v>
          </cell>
        </row>
        <row r="27">
          <cell r="L27">
            <v>0</v>
          </cell>
        </row>
        <row r="28">
          <cell r="L28">
            <v>0</v>
          </cell>
        </row>
        <row r="29">
          <cell r="L29">
            <v>0</v>
          </cell>
        </row>
        <row r="30">
          <cell r="L30">
            <v>0</v>
          </cell>
        </row>
        <row r="31">
          <cell r="L31">
            <v>0</v>
          </cell>
        </row>
        <row r="32">
          <cell r="L32">
            <v>0</v>
          </cell>
        </row>
        <row r="33">
          <cell r="L33">
            <v>0</v>
          </cell>
        </row>
        <row r="34">
          <cell r="L34">
            <v>0</v>
          </cell>
        </row>
        <row r="35">
          <cell r="L35">
            <v>0</v>
          </cell>
        </row>
        <row r="36">
          <cell r="L36">
            <v>0</v>
          </cell>
        </row>
        <row r="39">
          <cell r="L39">
            <v>0</v>
          </cell>
        </row>
        <row r="40">
          <cell r="L40">
            <v>0</v>
          </cell>
        </row>
        <row r="41">
          <cell r="L41">
            <v>0</v>
          </cell>
        </row>
        <row r="42">
          <cell r="L42">
            <v>0</v>
          </cell>
        </row>
        <row r="44">
          <cell r="L44">
            <v>280000</v>
          </cell>
        </row>
        <row r="45">
          <cell r="L45">
            <v>10000</v>
          </cell>
        </row>
        <row r="46">
          <cell r="L46">
            <v>0</v>
          </cell>
        </row>
        <row r="47">
          <cell r="L47">
            <v>0</v>
          </cell>
        </row>
        <row r="48">
          <cell r="L48">
            <v>445000</v>
          </cell>
        </row>
      </sheetData>
      <sheetData sheetId="3">
        <row r="5">
          <cell r="E5">
            <v>65000</v>
          </cell>
          <cell r="N5">
            <v>35000</v>
          </cell>
        </row>
        <row r="6">
          <cell r="E6"/>
          <cell r="N6"/>
        </row>
        <row r="7">
          <cell r="E7"/>
          <cell r="N7"/>
        </row>
        <row r="8">
          <cell r="E8"/>
          <cell r="N8"/>
        </row>
        <row r="9">
          <cell r="E9"/>
          <cell r="N9"/>
        </row>
        <row r="10">
          <cell r="E10"/>
          <cell r="N10"/>
        </row>
        <row r="11">
          <cell r="E11"/>
          <cell r="N11"/>
        </row>
        <row r="12">
          <cell r="E12">
            <v>50000</v>
          </cell>
        </row>
        <row r="13">
          <cell r="E13"/>
        </row>
        <row r="14">
          <cell r="E14"/>
          <cell r="N14"/>
        </row>
        <row r="15">
          <cell r="E15"/>
        </row>
        <row r="16">
          <cell r="E16"/>
        </row>
        <row r="17">
          <cell r="E17"/>
        </row>
        <row r="18">
          <cell r="E18"/>
        </row>
        <row r="19">
          <cell r="E19"/>
        </row>
        <row r="20">
          <cell r="E20"/>
        </row>
        <row r="21">
          <cell r="E21">
            <v>250000</v>
          </cell>
          <cell r="N21">
            <v>5000</v>
          </cell>
        </row>
        <row r="22">
          <cell r="N22"/>
        </row>
        <row r="23">
          <cell r="N23">
            <v>5000</v>
          </cell>
        </row>
        <row r="24">
          <cell r="E24"/>
          <cell r="N24"/>
        </row>
        <row r="25">
          <cell r="E25"/>
        </row>
        <row r="26">
          <cell r="E26"/>
        </row>
        <row r="27">
          <cell r="E27"/>
        </row>
        <row r="28">
          <cell r="E28"/>
        </row>
        <row r="29">
          <cell r="E29"/>
        </row>
        <row r="30">
          <cell r="E30"/>
        </row>
        <row r="31">
          <cell r="E31"/>
        </row>
        <row r="32">
          <cell r="E32"/>
        </row>
        <row r="33">
          <cell r="E33"/>
        </row>
        <row r="34">
          <cell r="E34"/>
        </row>
        <row r="35">
          <cell r="E35">
            <v>80000</v>
          </cell>
        </row>
        <row r="40">
          <cell r="E40"/>
        </row>
        <row r="41">
          <cell r="E41"/>
        </row>
        <row r="42">
          <cell r="E42"/>
        </row>
        <row r="43">
          <cell r="E43"/>
        </row>
        <row r="44">
          <cell r="E44">
            <v>51500</v>
          </cell>
        </row>
        <row r="45">
          <cell r="E45"/>
        </row>
      </sheetData>
      <sheetData sheetId="4">
        <row r="8">
          <cell r="K8">
            <v>280000</v>
          </cell>
        </row>
        <row r="9">
          <cell r="K9">
            <v>0</v>
          </cell>
        </row>
        <row r="10">
          <cell r="K10">
            <v>0</v>
          </cell>
        </row>
        <row r="11">
          <cell r="K11">
            <v>0</v>
          </cell>
        </row>
        <row r="12">
          <cell r="K12">
            <v>0</v>
          </cell>
        </row>
        <row r="17">
          <cell r="F17"/>
        </row>
        <row r="18">
          <cell r="F18"/>
        </row>
        <row r="19">
          <cell r="F19"/>
        </row>
      </sheetData>
      <sheetData sheetId="5">
        <row r="9">
          <cell r="N9">
            <v>0</v>
          </cell>
        </row>
        <row r="11">
          <cell r="N11">
            <v>0</v>
          </cell>
        </row>
        <row r="12">
          <cell r="N12">
            <v>0</v>
          </cell>
        </row>
        <row r="13">
          <cell r="N13">
            <v>0</v>
          </cell>
        </row>
        <row r="14">
          <cell r="N14">
            <v>0</v>
          </cell>
        </row>
        <row r="15">
          <cell r="N15">
            <v>0</v>
          </cell>
        </row>
        <row r="16">
          <cell r="N16">
            <v>0</v>
          </cell>
        </row>
        <row r="17">
          <cell r="N17">
            <v>0</v>
          </cell>
        </row>
        <row r="21">
          <cell r="N21">
            <v>0</v>
          </cell>
        </row>
        <row r="30">
          <cell r="N30">
            <v>0</v>
          </cell>
        </row>
        <row r="32">
          <cell r="N32">
            <v>0</v>
          </cell>
        </row>
        <row r="33">
          <cell r="N33">
            <v>0</v>
          </cell>
        </row>
        <row r="34">
          <cell r="N34">
            <v>0</v>
          </cell>
        </row>
        <row r="35">
          <cell r="N35">
            <v>0</v>
          </cell>
        </row>
        <row r="36">
          <cell r="N36">
            <v>0</v>
          </cell>
        </row>
        <row r="37">
          <cell r="N37">
            <v>0</v>
          </cell>
        </row>
        <row r="38">
          <cell r="N38">
            <v>0</v>
          </cell>
        </row>
        <row r="42">
          <cell r="N42">
            <v>0</v>
          </cell>
        </row>
      </sheetData>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
      <sheetName val="Page 1"/>
      <sheetName val="Page 2"/>
      <sheetName val="Page 3"/>
      <sheetName val="Page 4"/>
      <sheetName val="Page 5"/>
      <sheetName val="Page 6"/>
      <sheetName val="Page 7"/>
      <sheetName val="Page 8"/>
      <sheetName val="Page 9"/>
      <sheetName val="Page 10"/>
      <sheetName val="Summary"/>
      <sheetName val="Project balance reserves"/>
      <sheetName val="School listing"/>
      <sheetName val="Alerts"/>
      <sheetName val="Instructions"/>
      <sheetName val="Accounting data"/>
      <sheetName val="Calculations"/>
      <sheetName val="afr24"/>
    </sheetNames>
    <definedNames>
      <definedName name="AddlInstrImprProjEndBal" refersTo="='Page 4'!$F$19"/>
      <definedName name="CashBal" refersTo="='Page 6'!$F$6"/>
      <definedName name="CIP1072EndBal" refersTo="='Page 5'!$O$48"/>
      <definedName name="FP11001130EndBal" refersTo="='Page 8'!$N$6"/>
      <definedName name="FP11401150EndBal" refersTo="='Page 8'!$N$7"/>
      <definedName name="FP1160EndBal" refersTo="='Page 8'!$N$8"/>
      <definedName name="FP11701180EndBal" refersTo="='Page 8'!$N$9"/>
      <definedName name="FP1190EndBal" refersTo="='Page 8'!$N$10"/>
      <definedName name="FP1200EndBal" refersTo="='Page 8'!$N$11"/>
      <definedName name="FP1210EndBal" refersTo="='Page 8'!$N$12"/>
      <definedName name="FP1220EndBal" refersTo="='Page 8'!$N$13"/>
      <definedName name="FP1230EndBal" refersTo="='Page 8'!$N$14"/>
      <definedName name="FP1240EndBal" refersTo="='Page 8'!$N$15"/>
      <definedName name="FP1250EndBal" refersTo="='Page 8'!$N$16"/>
      <definedName name="FP1260EndBal" refersTo="='Page 8'!$N$17"/>
      <definedName name="FP1280EndBal" refersTo="='Page 8'!$N$18"/>
      <definedName name="FP1290EndBal" refersTo="='Page 8'!$N$19"/>
      <definedName name="FP1300EndBal" refersTo="='Page 8'!$N$20"/>
      <definedName name="FP13101399EndBal" refersTo="='Page 8'!$N$22"/>
      <definedName name="FP13XXImpactAidEndBal" refersTo="='Page 8'!$N$21"/>
      <definedName name="SEIP1071EndBal" refersTo="='Page 5'!$O$26"/>
      <definedName name="SP1000ClassSiteProj" refersTo="='Page 2'!$J$43"/>
      <definedName name="SP1000CompInstrProj" refersTo="='Page 2'!$J$46"/>
      <definedName name="SP1000FedStProj" refersTo="='Page 2'!$J$47"/>
      <definedName name="SP1000InstrImpProj" refersTo="='Page 2'!$J$44"/>
      <definedName name="SP1000P100F1000" refersTo="='Page 2'!$J$7"/>
      <definedName name="SP1000P100F2100" refersTo="='Page 2'!$J$9"/>
      <definedName name="SP1000P100F2200" refersTo="='Page 2'!$J$10"/>
      <definedName name="SP1000P100F2300" refersTo="='Page 2'!$J$11"/>
      <definedName name="SP1000P100F2400" refersTo="='Page 2'!$J$12"/>
      <definedName name="SP1000P100F2500" refersTo="='Page 2'!$J$13"/>
      <definedName name="SP1000P100F2600" refersTo="='Page 2'!$J$14"/>
      <definedName name="SP1000P100F2900" refersTo="='Page 2'!$J$15"/>
      <definedName name="SP1000P100F3000" refersTo="='Page 2'!$J$16"/>
      <definedName name="SP1000P100F4000" refersTo="='Page 2'!$J$17"/>
      <definedName name="SP1000P100F5000" refersTo="='Page 2'!$J$18"/>
      <definedName name="SP1000P200F1000" refersTo="='Page 2'!$J$25"/>
      <definedName name="SP1000P200F2100" refersTo="='Page 2'!$J$27"/>
      <definedName name="SP1000P200F2200" refersTo="='Page 2'!$J$28"/>
      <definedName name="SP1000P200F2300" refersTo="='Page 2'!$J$29"/>
      <definedName name="SP1000P200F2400" refersTo="='Page 2'!$J$30"/>
      <definedName name="SP1000P200F2500" refersTo="='Page 2'!$J$31"/>
      <definedName name="SP1000P200F2600" refersTo="='Page 2'!$J$32"/>
      <definedName name="SP1000P200F2900" refersTo="='Page 2'!$J$33"/>
      <definedName name="SP1000P200F3000" refersTo="='Page 2'!$J$34"/>
      <definedName name="SP1000P200F4000" refersTo="='Page 2'!$J$35"/>
      <definedName name="SP1000P200F5000" refersTo="='Page 2'!$J$36"/>
      <definedName name="SP1000P400" refersTo="='Page 2'!$J$38"/>
      <definedName name="SP1000P530" refersTo="='Page 2'!$J$39"/>
      <definedName name="SP1000P540" refersTo="='Page 2'!$J$40"/>
      <definedName name="SP1000P550" refersTo="='Page 2'!$J$41"/>
      <definedName name="SP1000P610" refersTo="='Page 2'!$J$19"/>
      <definedName name="SP1000P620" refersTo="='Page 2'!$J$20"/>
      <definedName name="SP1000P630700800900" refersTo="='Page 2'!$J$22"/>
      <definedName name="SP1000StruEngImmProj" refersTo="='Page 2'!$J$45"/>
      <definedName name="StP1400EndBal" refersTo="='Page 8'!$N$28"/>
      <definedName name="StP1410EndBal" refersTo="='Page 8'!$N$29"/>
      <definedName name="StP1420EndBal" refersTo="='Page 8'!$N$30"/>
      <definedName name="StP1425EndBal" refersTo="='Page 8'!$N$31"/>
      <definedName name="StP1430EndBal" refersTo="='Page 8'!$N$32"/>
      <definedName name="StP1435EndBal" refersTo="='Page 8'!$N$33"/>
      <definedName name="StP1450EndBal" refersTo="='Page 8'!$N$34"/>
      <definedName name="StP1456EndBal" refersTo="='Page 8'!$N$35"/>
      <definedName name="StP1460EndBal" refersTo="='Page 8'!$N$36"/>
      <definedName name="StP1465EndBal" refersTo="='Page 8'!$N$37"/>
      <definedName name="StP14701499EndBal" refersTo="='Page 8'!$N$39"/>
      <definedName name="StP14XXEndBal" refersTo="='Page 8'!$N$38"/>
    </definedNames>
    <sheetDataSet>
      <sheetData sheetId="0"/>
      <sheetData sheetId="1"/>
      <sheetData sheetId="2">
        <row r="7">
          <cell r="J7">
            <v>887881</v>
          </cell>
        </row>
        <row r="9">
          <cell r="J9">
            <v>13792</v>
          </cell>
        </row>
        <row r="10">
          <cell r="J10">
            <v>1</v>
          </cell>
        </row>
        <row r="11">
          <cell r="J11">
            <v>0</v>
          </cell>
        </row>
        <row r="12">
          <cell r="J12">
            <v>283020</v>
          </cell>
        </row>
        <row r="13">
          <cell r="J13">
            <v>99338</v>
          </cell>
        </row>
        <row r="14">
          <cell r="J14">
            <v>1073051</v>
          </cell>
        </row>
        <row r="15">
          <cell r="J15">
            <v>0</v>
          </cell>
        </row>
        <row r="16">
          <cell r="J16">
            <v>0</v>
          </cell>
        </row>
        <row r="17">
          <cell r="J17">
            <v>0</v>
          </cell>
        </row>
        <row r="18">
          <cell r="J18">
            <v>19899</v>
          </cell>
        </row>
        <row r="19">
          <cell r="J19">
            <v>0</v>
          </cell>
        </row>
        <row r="20">
          <cell r="J20">
            <v>99653</v>
          </cell>
        </row>
        <row r="21">
          <cell r="J21">
            <v>0</v>
          </cell>
        </row>
        <row r="22">
          <cell r="J22">
            <v>0</v>
          </cell>
        </row>
        <row r="25">
          <cell r="J25">
            <v>34002</v>
          </cell>
        </row>
        <row r="27">
          <cell r="J27">
            <v>0</v>
          </cell>
        </row>
        <row r="28">
          <cell r="J28">
            <v>0</v>
          </cell>
        </row>
        <row r="29">
          <cell r="J29">
            <v>0</v>
          </cell>
        </row>
        <row r="30">
          <cell r="J30">
            <v>0</v>
          </cell>
        </row>
        <row r="31">
          <cell r="J31">
            <v>0</v>
          </cell>
        </row>
        <row r="32">
          <cell r="J32">
            <v>0</v>
          </cell>
        </row>
        <row r="33">
          <cell r="J33">
            <v>0</v>
          </cell>
        </row>
        <row r="34">
          <cell r="J34">
            <v>0</v>
          </cell>
        </row>
        <row r="35">
          <cell r="J35">
            <v>0</v>
          </cell>
        </row>
        <row r="36">
          <cell r="J36">
            <v>0</v>
          </cell>
        </row>
        <row r="38">
          <cell r="J38">
            <v>8911</v>
          </cell>
        </row>
        <row r="39">
          <cell r="J39">
            <v>0</v>
          </cell>
        </row>
        <row r="40">
          <cell r="J40">
            <v>0</v>
          </cell>
        </row>
        <row r="41">
          <cell r="J41">
            <v>0</v>
          </cell>
        </row>
        <row r="43">
          <cell r="J43">
            <v>276750</v>
          </cell>
        </row>
        <row r="44">
          <cell r="J44">
            <v>20650</v>
          </cell>
        </row>
        <row r="45">
          <cell r="J45">
            <v>0</v>
          </cell>
        </row>
        <row r="46">
          <cell r="J46">
            <v>0</v>
          </cell>
        </row>
        <row r="47">
          <cell r="J47">
            <v>502371</v>
          </cell>
        </row>
      </sheetData>
      <sheetData sheetId="3">
        <row r="30">
          <cell r="F30">
            <v>73221</v>
          </cell>
        </row>
      </sheetData>
      <sheetData sheetId="4">
        <row r="19">
          <cell r="F19">
            <v>0</v>
          </cell>
        </row>
      </sheetData>
      <sheetData sheetId="5">
        <row r="26">
          <cell r="O26">
            <v>0</v>
          </cell>
        </row>
        <row r="48">
          <cell r="O48">
            <v>0</v>
          </cell>
        </row>
      </sheetData>
      <sheetData sheetId="6">
        <row r="6">
          <cell r="F6">
            <v>996205</v>
          </cell>
        </row>
        <row r="29">
          <cell r="T29">
            <v>53806</v>
          </cell>
        </row>
      </sheetData>
      <sheetData sheetId="7"/>
      <sheetData sheetId="8">
        <row r="6">
          <cell r="N6">
            <v>0</v>
          </cell>
        </row>
        <row r="7">
          <cell r="N7">
            <v>0</v>
          </cell>
        </row>
        <row r="8">
          <cell r="N8">
            <v>0</v>
          </cell>
        </row>
        <row r="9">
          <cell r="N9">
            <v>0</v>
          </cell>
        </row>
        <row r="10">
          <cell r="N10">
            <v>0</v>
          </cell>
        </row>
        <row r="11">
          <cell r="N11">
            <v>0</v>
          </cell>
        </row>
        <row r="12">
          <cell r="N12">
            <v>0</v>
          </cell>
        </row>
        <row r="13">
          <cell r="N13">
            <v>0</v>
          </cell>
        </row>
        <row r="14">
          <cell r="N14">
            <v>0</v>
          </cell>
        </row>
        <row r="15">
          <cell r="N15">
            <v>0</v>
          </cell>
        </row>
        <row r="16">
          <cell r="N16">
            <v>0</v>
          </cell>
        </row>
        <row r="17">
          <cell r="N17">
            <v>0</v>
          </cell>
        </row>
        <row r="18">
          <cell r="N18">
            <v>0</v>
          </cell>
        </row>
        <row r="19">
          <cell r="N19">
            <v>0</v>
          </cell>
        </row>
        <row r="20">
          <cell r="N20">
            <v>0</v>
          </cell>
        </row>
        <row r="21">
          <cell r="N21">
            <v>0</v>
          </cell>
        </row>
        <row r="22">
          <cell r="N22">
            <v>0</v>
          </cell>
        </row>
        <row r="25">
          <cell r="N25">
            <v>0</v>
          </cell>
        </row>
        <row r="28">
          <cell r="N28">
            <v>0</v>
          </cell>
        </row>
        <row r="29">
          <cell r="N29">
            <v>0</v>
          </cell>
        </row>
        <row r="30">
          <cell r="N30">
            <v>0</v>
          </cell>
        </row>
        <row r="31">
          <cell r="N31">
            <v>0</v>
          </cell>
        </row>
        <row r="32">
          <cell r="N32">
            <v>0</v>
          </cell>
        </row>
        <row r="33">
          <cell r="N33">
            <v>0</v>
          </cell>
        </row>
        <row r="34">
          <cell r="N34">
            <v>0</v>
          </cell>
        </row>
        <row r="35">
          <cell r="N35">
            <v>0</v>
          </cell>
        </row>
        <row r="36">
          <cell r="N36">
            <v>0</v>
          </cell>
        </row>
        <row r="37">
          <cell r="N37">
            <v>0</v>
          </cell>
        </row>
        <row r="38">
          <cell r="N38">
            <v>0</v>
          </cell>
        </row>
        <row r="39">
          <cell r="N39">
            <v>0</v>
          </cell>
        </row>
      </sheetData>
      <sheetData sheetId="9"/>
      <sheetData sheetId="10"/>
      <sheetData sheetId="11">
        <row r="17">
          <cell r="K17">
            <v>636656</v>
          </cell>
        </row>
      </sheetData>
      <sheetData sheetId="12"/>
      <sheetData sheetId="13"/>
      <sheetData sheetId="14"/>
      <sheetData sheetId="15"/>
      <sheetData sheetId="16"/>
      <sheetData sheetId="17"/>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CS%20FINAL%20FILES%20FROM%20ADE/BegFundBalances"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hyperlink" Target="https://www.azed.gov/titlei/sample-page/rural-low-income-schools-rlis/" TargetMode="External"/><Relationship Id="rId7" Type="http://schemas.openxmlformats.org/officeDocument/2006/relationships/hyperlink" Target="https://www.azed.gov/sites/default/files/2022/09/How%20to%20Complete%20USDA%20Foods%20AFR%20Calculations.pdf" TargetMode="External"/><Relationship Id="rId2" Type="http://schemas.openxmlformats.org/officeDocument/2006/relationships/hyperlink" Target="https://www.azed.gov/21stcclc/federal-and-state-regulations/" TargetMode="External"/><Relationship Id="rId1" Type="http://schemas.openxmlformats.org/officeDocument/2006/relationships/hyperlink" Target="https://www.azed.gov/titleiv-a/" TargetMode="External"/><Relationship Id="rId6" Type="http://schemas.openxmlformats.org/officeDocument/2006/relationships/hyperlink" Target="https://www.azauditor.gov/District_charter_ADE_COVID-19_spending_special_report_FY_2022" TargetMode="External"/><Relationship Id="rId5" Type="http://schemas.openxmlformats.org/officeDocument/2006/relationships/hyperlink" Target="https://www.azed.gov/grants-management/contact/" TargetMode="External"/><Relationship Id="rId4" Type="http://schemas.openxmlformats.org/officeDocument/2006/relationships/hyperlink" Target="https://www.azed.gov/titlei/rea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CS%20FINAL%20FILES%20FROM%20ADE/Program_200_Budget_and_Program_200_Actual_column_totals_should_equal_line_27_on_page_2." TargetMode="External"/><Relationship Id="rId1" Type="http://schemas.openxmlformats.org/officeDocument/2006/relationships/hyperlink" Target="CS%20FINAL%20FILES%20FROM%20ADE/Program_200_Budget_and_Program_200_Actual_column_totals_should_equal_line_27_on_page_2."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EE37A-9784-4E92-A38B-92FC1796372E}">
  <sheetPr>
    <pageSetUpPr fitToPage="1"/>
  </sheetPr>
  <dimension ref="A1:AB35"/>
  <sheetViews>
    <sheetView showGridLines="0" tabSelected="1" topLeftCell="A11" workbookViewId="0">
      <selection activeCell="L4" sqref="L4:R18"/>
    </sheetView>
  </sheetViews>
  <sheetFormatPr defaultColWidth="9.33203125" defaultRowHeight="13.2" x14ac:dyDescent="0.25"/>
  <cols>
    <col min="1" max="1" width="22.21875" customWidth="1"/>
    <col min="2" max="2" width="6.33203125" customWidth="1"/>
    <col min="3" max="3" width="5.33203125" customWidth="1"/>
    <col min="4" max="4" width="9.33203125" customWidth="1"/>
    <col min="5" max="5" width="6.33203125" customWidth="1"/>
    <col min="6" max="6" width="13" customWidth="1"/>
    <col min="7" max="7" width="7.77734375" customWidth="1"/>
    <col min="8" max="8" width="3.33203125" customWidth="1"/>
    <col min="9" max="9" width="13" customWidth="1"/>
    <col min="10" max="12" width="9.33203125" customWidth="1"/>
    <col min="13" max="13" width="11" customWidth="1"/>
    <col min="14" max="14" width="20" customWidth="1"/>
    <col min="15" max="15" width="17.33203125" customWidth="1"/>
    <col min="16" max="16" width="7" customWidth="1"/>
    <col min="17" max="17" width="3.33203125" customWidth="1"/>
    <col min="18" max="18" width="16" customWidth="1"/>
    <col min="19" max="26" width="9.33203125" customWidth="1"/>
    <col min="27" max="27" width="18" customWidth="1"/>
    <col min="28" max="28" width="11.77734375" customWidth="1"/>
    <col min="29" max="29" width="9.33203125" customWidth="1"/>
  </cols>
  <sheetData>
    <row r="1" spans="1:28" ht="12.75" customHeight="1" x14ac:dyDescent="0.3">
      <c r="A1" s="794" t="s">
        <v>0</v>
      </c>
      <c r="B1" s="794"/>
      <c r="C1" s="794"/>
      <c r="D1" s="776" t="s">
        <v>1358</v>
      </c>
      <c r="E1" s="775"/>
      <c r="F1" s="775"/>
      <c r="G1" s="775"/>
      <c r="H1" s="775"/>
      <c r="I1" s="775"/>
      <c r="L1" s="575" t="s">
        <v>1</v>
      </c>
      <c r="M1" s="774" t="s">
        <v>1359</v>
      </c>
      <c r="N1" s="775"/>
      <c r="Q1" s="64" t="s">
        <v>2</v>
      </c>
      <c r="R1" s="546" t="s">
        <v>1360</v>
      </c>
      <c r="AA1" s="551" t="s">
        <v>3</v>
      </c>
      <c r="AB1" s="703">
        <v>45883</v>
      </c>
    </row>
    <row r="2" spans="1:28" ht="12.75" customHeight="1" x14ac:dyDescent="0.25">
      <c r="A2" s="108"/>
      <c r="B2" s="108"/>
      <c r="C2" s="108"/>
      <c r="D2" s="773" t="s">
        <v>4</v>
      </c>
      <c r="E2" s="773"/>
      <c r="F2" s="773"/>
      <c r="G2" s="773"/>
      <c r="H2" s="773"/>
      <c r="I2" s="773"/>
      <c r="L2" s="777" t="str">
        <f>IF('Page 2'!J48=0,"",IF(OR(Alerts!A2&lt;&gt;"",Alerts!A3&lt;&gt;"",Alerts!A4&lt;&gt;"",Alerts!A5&lt;&gt;"",Alerts!A6&lt;&gt;"",Alerts!A7&lt;&gt;"",Alerts!A8&lt;&gt;"",Alerts!A9&lt;&gt;"",Alerts!A10&lt;&gt;"",Alerts!A11&lt;&gt;"",Alerts!A12&lt;&gt;"",Alerts!A13&lt;&gt;"",Alerts!A14&lt;&gt;"",Alerts!A15&lt;&gt;""),"ALERT: The following item(s) need to be addressed before the AFR is submitted. See the Alerts Tab for more detailed information, including guidance on how to resolve the alerts.",""))</f>
        <v/>
      </c>
      <c r="M2" s="779"/>
      <c r="N2" s="779"/>
      <c r="O2" s="779"/>
      <c r="P2" s="779"/>
      <c r="Q2" s="779"/>
      <c r="R2" s="779"/>
    </row>
    <row r="3" spans="1:28" ht="12.75" customHeight="1" x14ac:dyDescent="0.3">
      <c r="A3" s="108"/>
      <c r="B3" s="108"/>
      <c r="C3" s="108"/>
      <c r="D3" s="776"/>
      <c r="E3" s="775"/>
      <c r="F3" s="775"/>
      <c r="G3" s="775"/>
      <c r="H3" s="775"/>
      <c r="I3" s="775"/>
      <c r="L3" s="779"/>
      <c r="M3" s="779"/>
      <c r="N3" s="779"/>
      <c r="O3" s="779"/>
      <c r="P3" s="779"/>
      <c r="Q3" s="779"/>
      <c r="R3" s="779"/>
    </row>
    <row r="4" spans="1:28" ht="12.75" customHeight="1" x14ac:dyDescent="0.25">
      <c r="A4" s="108"/>
      <c r="B4" s="108"/>
      <c r="C4" s="108"/>
      <c r="D4" s="773" t="s">
        <v>5</v>
      </c>
      <c r="E4" s="773"/>
      <c r="F4" s="773"/>
      <c r="G4" s="773"/>
      <c r="H4" s="773"/>
      <c r="I4" s="773"/>
      <c r="L4" s="777" t="str">
        <f>IF(L2="","",CONCATENATE(Alerts!B3,CHAR(10),Alerts!B4,CHAR(10),Alerts!B5,CHAR(10),Alerts!B6,CHAR(10),Alerts!B7,CHAR(10),Alerts!B8,CHAR(10),Alerts!B9,CHAR(10),Alerts!B10,CHAR(10),Alerts!B11,CHAR(10),Alerts!B12,CHAR(10),Alerts!B13,CHAR(10),Alerts!B14,CHAR(10),Alerts!B15,CHAR(10),Alerts!B16))</f>
        <v/>
      </c>
      <c r="M4" s="778"/>
      <c r="N4" s="778"/>
      <c r="O4" s="778"/>
      <c r="P4" s="778"/>
      <c r="Q4" s="778"/>
      <c r="R4" s="778"/>
    </row>
    <row r="5" spans="1:28" ht="12.75" customHeight="1" x14ac:dyDescent="0.25">
      <c r="A5" s="642" t="s">
        <v>726</v>
      </c>
      <c r="B5" s="108"/>
      <c r="C5" s="108"/>
      <c r="L5" s="778"/>
      <c r="M5" s="778"/>
      <c r="N5" s="778"/>
      <c r="O5" s="778"/>
      <c r="P5" s="778"/>
      <c r="Q5" s="778"/>
      <c r="R5" s="778"/>
    </row>
    <row r="6" spans="1:28" ht="17.55" customHeight="1" x14ac:dyDescent="0.3">
      <c r="A6" s="785" t="s">
        <v>1244</v>
      </c>
      <c r="B6" s="780" t="s">
        <v>1270</v>
      </c>
      <c r="C6" s="780"/>
      <c r="D6" s="780"/>
      <c r="E6" s="780"/>
      <c r="F6" s="780"/>
      <c r="G6" s="780"/>
      <c r="H6" s="780"/>
      <c r="I6" s="780"/>
      <c r="J6" s="84"/>
      <c r="L6" s="778"/>
      <c r="M6" s="778"/>
      <c r="N6" s="778"/>
      <c r="O6" s="778"/>
      <c r="P6" s="778"/>
      <c r="Q6" s="778"/>
      <c r="R6" s="778"/>
    </row>
    <row r="7" spans="1:28" ht="18" customHeight="1" x14ac:dyDescent="0.3">
      <c r="A7" s="785"/>
      <c r="B7" s="780" t="s">
        <v>6</v>
      </c>
      <c r="C7" s="780"/>
      <c r="D7" s="780"/>
      <c r="E7" s="780"/>
      <c r="F7" s="780"/>
      <c r="G7" s="780"/>
      <c r="H7" s="780"/>
      <c r="I7" s="780"/>
      <c r="J7" s="80"/>
      <c r="L7" s="778"/>
      <c r="M7" s="778"/>
      <c r="N7" s="778"/>
      <c r="O7" s="778"/>
      <c r="P7" s="778"/>
      <c r="Q7" s="778"/>
      <c r="R7" s="778"/>
    </row>
    <row r="8" spans="1:28" ht="18" customHeight="1" x14ac:dyDescent="0.3">
      <c r="A8" s="658"/>
      <c r="B8" s="781" t="s">
        <v>7</v>
      </c>
      <c r="C8" s="781"/>
      <c r="D8" s="781"/>
      <c r="E8" s="781"/>
      <c r="F8" s="781"/>
      <c r="G8" s="781"/>
      <c r="H8" s="781"/>
      <c r="I8" s="781"/>
      <c r="J8" s="84"/>
      <c r="L8" s="778"/>
      <c r="M8" s="778"/>
      <c r="N8" s="778"/>
      <c r="O8" s="778"/>
      <c r="P8" s="778"/>
      <c r="Q8" s="778"/>
      <c r="R8" s="778"/>
    </row>
    <row r="9" spans="1:28" ht="12.75" customHeight="1" x14ac:dyDescent="0.25">
      <c r="C9" s="109"/>
      <c r="D9" s="109"/>
      <c r="E9" s="109"/>
      <c r="F9" s="109"/>
      <c r="G9" s="109"/>
      <c r="H9" s="109"/>
      <c r="I9" s="109"/>
      <c r="J9" s="110"/>
      <c r="L9" s="778"/>
      <c r="M9" s="778"/>
      <c r="N9" s="778"/>
      <c r="O9" s="778"/>
      <c r="P9" s="777"/>
      <c r="Q9" s="778"/>
      <c r="R9" s="778"/>
    </row>
    <row r="10" spans="1:28" ht="26.25" customHeight="1" x14ac:dyDescent="0.3">
      <c r="A10" s="28"/>
      <c r="B10" s="783" t="str">
        <f>IF('Page 2'!N9="","","Checking the box to the left certifies the Charter did not incur any expenses for student support services, as defined in the USFRCS and reported on Page 2, Line 2, during the fiscal year.")</f>
        <v/>
      </c>
      <c r="C10" s="783"/>
      <c r="D10" s="783"/>
      <c r="E10" s="783"/>
      <c r="F10" s="783"/>
      <c r="G10" s="783"/>
      <c r="H10" s="783"/>
      <c r="I10" s="783"/>
      <c r="J10" s="784"/>
      <c r="L10" s="778"/>
      <c r="M10" s="778"/>
      <c r="N10" s="778"/>
      <c r="O10" s="778"/>
      <c r="P10" s="778"/>
      <c r="Q10" s="778"/>
      <c r="R10" s="778"/>
    </row>
    <row r="11" spans="1:28" x14ac:dyDescent="0.25">
      <c r="A11" s="786" t="s">
        <v>1258</v>
      </c>
      <c r="B11" s="786"/>
      <c r="C11" s="786"/>
      <c r="D11" s="787" t="s">
        <v>1367</v>
      </c>
      <c r="E11" s="787"/>
      <c r="F11" s="787"/>
      <c r="G11" s="787"/>
      <c r="H11" s="787"/>
      <c r="I11" s="787"/>
      <c r="J11" s="788"/>
      <c r="L11" s="778"/>
      <c r="M11" s="778"/>
      <c r="N11" s="778"/>
      <c r="O11" s="778"/>
      <c r="P11" s="778"/>
      <c r="Q11" s="778"/>
      <c r="R11" s="778"/>
    </row>
    <row r="12" spans="1:28" ht="25.5" customHeight="1" x14ac:dyDescent="0.3">
      <c r="A12" s="28"/>
      <c r="B12" s="783" t="str">
        <f>IF('Page 2'!N10="","","Checking the box to the left certifies the Charter did not incur any expenses for instructional support services, as defined in the USFRCS and reported on Page 2, Line 3, during the fiscal year.")</f>
        <v/>
      </c>
      <c r="C12" s="783"/>
      <c r="D12" s="783"/>
      <c r="E12" s="783"/>
      <c r="F12" s="783"/>
      <c r="G12" s="783"/>
      <c r="H12" s="783"/>
      <c r="I12" s="783"/>
      <c r="J12" s="784"/>
      <c r="K12" s="68"/>
      <c r="L12" s="778"/>
      <c r="M12" s="778"/>
      <c r="N12" s="778"/>
      <c r="O12" s="778"/>
      <c r="P12" s="778"/>
      <c r="Q12" s="778"/>
      <c r="R12" s="778"/>
    </row>
    <row r="13" spans="1:28" x14ac:dyDescent="0.25">
      <c r="A13" s="111"/>
      <c r="C13" s="109"/>
      <c r="D13" s="109"/>
      <c r="E13" s="109"/>
      <c r="F13" s="109"/>
      <c r="G13" s="109"/>
      <c r="H13" s="109"/>
      <c r="I13" s="109"/>
      <c r="J13" s="110"/>
      <c r="L13" s="778"/>
      <c r="M13" s="778"/>
      <c r="N13" s="778"/>
      <c r="O13" s="778"/>
      <c r="P13" s="778"/>
      <c r="Q13" s="778"/>
      <c r="R13" s="778"/>
    </row>
    <row r="14" spans="1:28" ht="25.5" customHeight="1" x14ac:dyDescent="0.3">
      <c r="A14" s="28"/>
      <c r="B14" s="792" t="str">
        <f>IF('Page 3'!M12="","","Checking the box to the left certifies the Charter did not incur any expenses for Classroom Site Project, as reported on Page 3, during the fiscal year.")</f>
        <v/>
      </c>
      <c r="C14" s="792"/>
      <c r="D14" s="792"/>
      <c r="E14" s="792"/>
      <c r="F14" s="792"/>
      <c r="G14" s="792"/>
      <c r="H14" s="792"/>
      <c r="I14" s="792"/>
      <c r="J14" s="793"/>
      <c r="L14" s="778"/>
      <c r="M14" s="778"/>
      <c r="N14" s="778"/>
      <c r="O14" s="778"/>
      <c r="P14" s="778"/>
      <c r="Q14" s="778"/>
      <c r="R14" s="778"/>
    </row>
    <row r="15" spans="1:28" x14ac:dyDescent="0.25">
      <c r="A15" s="111"/>
      <c r="C15" s="109"/>
      <c r="D15" s="109"/>
      <c r="E15" s="109"/>
      <c r="F15" s="109"/>
      <c r="G15" s="109"/>
      <c r="H15" s="109"/>
      <c r="I15" s="109"/>
      <c r="J15" s="110"/>
      <c r="L15" s="778"/>
      <c r="M15" s="778"/>
      <c r="N15" s="778"/>
      <c r="O15" s="778"/>
      <c r="P15" s="778"/>
      <c r="Q15" s="778"/>
      <c r="R15" s="778"/>
    </row>
    <row r="16" spans="1:28" ht="39.75" customHeight="1" x14ac:dyDescent="0.3">
      <c r="A16" s="28"/>
      <c r="B16" s="783" t="str">
        <f>IF('Page 6'!H33="","","Checking the box to the left certifies the Charter did not incur any current expenses for student support services, as defined in the USFRCS and reported on Page 6-Section E-Line 4, during the fiscal year.")</f>
        <v/>
      </c>
      <c r="C16" s="783"/>
      <c r="D16" s="783"/>
      <c r="E16" s="783"/>
      <c r="F16" s="783"/>
      <c r="G16" s="783"/>
      <c r="H16" s="783"/>
      <c r="I16" s="783"/>
      <c r="J16" s="784"/>
      <c r="L16" s="778"/>
      <c r="M16" s="778"/>
      <c r="N16" s="778"/>
      <c r="O16" s="778"/>
      <c r="P16" s="778"/>
      <c r="Q16" s="778"/>
      <c r="R16" s="778"/>
    </row>
    <row r="17" spans="1:26" x14ac:dyDescent="0.25">
      <c r="A17" s="111"/>
      <c r="C17" s="109"/>
      <c r="D17" s="109"/>
      <c r="E17" s="109"/>
      <c r="F17" s="109"/>
      <c r="G17" s="109"/>
      <c r="H17" s="109"/>
      <c r="I17" s="109"/>
      <c r="J17" s="110"/>
      <c r="L17" s="778"/>
      <c r="M17" s="778"/>
      <c r="N17" s="778"/>
      <c r="O17" s="778"/>
      <c r="P17" s="778"/>
      <c r="Q17" s="778"/>
      <c r="R17" s="778"/>
    </row>
    <row r="18" spans="1:26" ht="48" customHeight="1" x14ac:dyDescent="0.3">
      <c r="A18" s="28"/>
      <c r="B18" s="783" t="str">
        <f>IF('Page 4'!K10="","","Checking the box to the left certifies the Charter did not incur any expenses for Instructional Improvement Project, as defined in the USFRCS and reported on Page 4, Line 5, during the fiscal year.")</f>
        <v/>
      </c>
      <c r="C18" s="783"/>
      <c r="D18" s="783"/>
      <c r="E18" s="783"/>
      <c r="F18" s="783"/>
      <c r="G18" s="783"/>
      <c r="H18" s="783"/>
      <c r="I18" s="783"/>
      <c r="J18" s="784"/>
      <c r="L18" s="778"/>
      <c r="M18" s="778"/>
      <c r="N18" s="778"/>
      <c r="O18" s="778"/>
      <c r="P18" s="778"/>
      <c r="Q18" s="778"/>
      <c r="R18" s="778"/>
      <c r="S18" s="4"/>
      <c r="T18" s="4"/>
    </row>
    <row r="19" spans="1:26" ht="12.75" customHeight="1" x14ac:dyDescent="0.25">
      <c r="B19" s="789" t="s">
        <v>1271</v>
      </c>
      <c r="C19" s="789"/>
      <c r="D19" s="789"/>
      <c r="E19" s="789"/>
      <c r="F19" s="789"/>
      <c r="G19" s="789"/>
      <c r="H19" s="789"/>
      <c r="I19" s="789"/>
      <c r="J19" s="84"/>
      <c r="L19" s="796" t="s">
        <v>1272</v>
      </c>
      <c r="M19" s="796"/>
      <c r="N19" s="796"/>
      <c r="O19" s="796"/>
      <c r="P19" s="796"/>
      <c r="Q19" s="796"/>
      <c r="R19" s="796"/>
      <c r="S19" s="4"/>
      <c r="T19" s="4"/>
    </row>
    <row r="20" spans="1:26" ht="25.5" customHeight="1" thickBot="1" x14ac:dyDescent="0.35">
      <c r="B20" s="789"/>
      <c r="C20" s="789"/>
      <c r="D20" s="789"/>
      <c r="E20" s="789"/>
      <c r="F20" s="789"/>
      <c r="G20" s="789"/>
      <c r="H20" s="789"/>
      <c r="I20" s="789"/>
      <c r="J20" s="84"/>
      <c r="L20" t="s">
        <v>8</v>
      </c>
      <c r="N20" s="771">
        <v>45944</v>
      </c>
      <c r="O20" s="797" t="s">
        <v>9</v>
      </c>
      <c r="P20" s="797"/>
      <c r="Q20" s="797"/>
      <c r="R20" s="797"/>
      <c r="T20" s="799" t="str">
        <f>IF(Z20="X","","Charters schools must review the FY 2025 AFR Formula Corrections file and make any required formula corrections before finalizing and submitting the AFR. Select the X in the dropdown box in cell Z20 once this step is complete.")</f>
        <v/>
      </c>
      <c r="U20" s="799"/>
      <c r="V20" s="799"/>
      <c r="W20" s="799"/>
      <c r="X20" s="799"/>
      <c r="Z20" s="695" t="s">
        <v>1366</v>
      </c>
    </row>
    <row r="21" spans="1:26" ht="12.75" customHeight="1" x14ac:dyDescent="0.25">
      <c r="A21" s="782"/>
      <c r="B21" s="782"/>
      <c r="C21" s="782"/>
      <c r="D21" s="782"/>
      <c r="E21" s="782"/>
      <c r="F21" s="4"/>
      <c r="G21" s="791"/>
      <c r="H21" s="791"/>
      <c r="I21" s="791"/>
      <c r="J21" s="84"/>
      <c r="L21" s="782" t="s">
        <v>10</v>
      </c>
      <c r="M21" s="782"/>
      <c r="N21" s="782"/>
      <c r="O21" s="112"/>
      <c r="P21" s="112"/>
      <c r="Q21" s="112"/>
      <c r="R21" s="112"/>
      <c r="T21" s="799"/>
      <c r="U21" s="799"/>
      <c r="V21" s="799"/>
      <c r="W21" s="799"/>
      <c r="X21" s="799"/>
    </row>
    <row r="22" spans="1:26" ht="13.5" customHeight="1" x14ac:dyDescent="0.3">
      <c r="A22" s="772"/>
      <c r="B22" s="772"/>
      <c r="C22" s="772"/>
      <c r="D22" s="772"/>
      <c r="E22" s="772"/>
      <c r="F22" s="4"/>
      <c r="G22" s="774"/>
      <c r="H22" s="775"/>
      <c r="I22" s="775"/>
      <c r="J22" s="84"/>
      <c r="M22" s="112"/>
      <c r="N22" s="112"/>
      <c r="O22" s="112"/>
      <c r="P22" s="112"/>
      <c r="Q22" s="112"/>
      <c r="R22" s="112"/>
      <c r="T22" s="799"/>
      <c r="U22" s="799"/>
      <c r="V22" s="799"/>
      <c r="W22" s="799"/>
      <c r="X22" s="799"/>
    </row>
    <row r="23" spans="1:26" ht="12.75" customHeight="1" x14ac:dyDescent="0.3">
      <c r="H23" s="4"/>
      <c r="I23" s="4"/>
      <c r="J23" s="80"/>
      <c r="L23" s="772"/>
      <c r="M23" s="772"/>
      <c r="N23" s="772"/>
      <c r="P23" s="776"/>
      <c r="Q23" s="775"/>
      <c r="R23" s="775"/>
      <c r="T23" s="799"/>
      <c r="U23" s="799"/>
      <c r="V23" s="799"/>
      <c r="W23" s="799"/>
      <c r="X23" s="799"/>
    </row>
    <row r="24" spans="1:26" ht="14.25" customHeight="1" x14ac:dyDescent="0.3">
      <c r="A24" s="772"/>
      <c r="B24" s="772"/>
      <c r="C24" s="772"/>
      <c r="D24" s="772"/>
      <c r="E24" s="772"/>
      <c r="F24" s="4"/>
      <c r="G24" s="774"/>
      <c r="H24" s="775"/>
      <c r="I24" s="775"/>
      <c r="J24" s="80"/>
      <c r="L24" s="790" t="s">
        <v>11</v>
      </c>
      <c r="M24" s="790"/>
      <c r="N24" s="790"/>
      <c r="P24" s="790" t="s">
        <v>12</v>
      </c>
      <c r="Q24" s="790"/>
      <c r="R24" s="790"/>
    </row>
    <row r="25" spans="1:26" ht="12.75" customHeight="1" x14ac:dyDescent="0.3">
      <c r="J25" s="80"/>
      <c r="L25" s="776" t="s">
        <v>1361</v>
      </c>
      <c r="M25" s="798"/>
      <c r="N25" s="798"/>
    </row>
    <row r="26" spans="1:26" ht="14.25" customHeight="1" x14ac:dyDescent="0.3">
      <c r="A26" s="772"/>
      <c r="B26" s="772"/>
      <c r="C26" s="772"/>
      <c r="D26" s="772"/>
      <c r="E26" s="772"/>
      <c r="F26" s="4"/>
      <c r="G26" s="774"/>
      <c r="H26" s="775"/>
      <c r="I26" s="775"/>
      <c r="J26" s="80"/>
      <c r="L26" s="790" t="s">
        <v>13</v>
      </c>
      <c r="M26" s="790"/>
      <c r="N26" s="790"/>
    </row>
    <row r="27" spans="1:26" ht="12.75" customHeight="1" x14ac:dyDescent="0.25">
      <c r="J27" s="80"/>
      <c r="L27" s="782"/>
      <c r="M27" s="782"/>
      <c r="N27" s="782"/>
      <c r="O27" s="113"/>
      <c r="P27" s="800"/>
      <c r="Q27" s="800"/>
      <c r="R27" s="800"/>
    </row>
    <row r="28" spans="1:26" ht="12.75" customHeight="1" x14ac:dyDescent="0.3">
      <c r="A28" s="772"/>
      <c r="B28" s="772"/>
      <c r="C28" s="772"/>
      <c r="D28" s="772"/>
      <c r="E28" s="772"/>
      <c r="F28" s="4"/>
      <c r="G28" s="774"/>
      <c r="H28" s="775"/>
      <c r="I28" s="775"/>
      <c r="J28" s="80"/>
      <c r="L28" s="772"/>
      <c r="M28" s="772"/>
      <c r="N28" s="772"/>
      <c r="P28" s="776"/>
      <c r="Q28" s="775"/>
      <c r="R28" s="775"/>
    </row>
    <row r="29" spans="1:26" ht="14.25" customHeight="1" x14ac:dyDescent="0.25">
      <c r="D29" s="4"/>
      <c r="E29" s="4"/>
      <c r="F29" s="4"/>
      <c r="G29" s="4"/>
      <c r="J29" s="80"/>
      <c r="L29" s="790" t="s">
        <v>11</v>
      </c>
      <c r="M29" s="790"/>
      <c r="N29" s="790"/>
      <c r="P29" s="790" t="s">
        <v>12</v>
      </c>
      <c r="Q29" s="790"/>
      <c r="R29" s="790"/>
    </row>
    <row r="30" spans="1:26" ht="12.75" customHeight="1" x14ac:dyDescent="0.3">
      <c r="A30" s="772"/>
      <c r="B30" s="772"/>
      <c r="C30" s="772"/>
      <c r="D30" s="772"/>
      <c r="E30" s="772"/>
      <c r="F30" s="4"/>
      <c r="G30" s="774"/>
      <c r="H30" s="775"/>
      <c r="I30" s="775"/>
      <c r="K30" s="91"/>
      <c r="L30" s="776" t="s">
        <v>1362</v>
      </c>
      <c r="M30" s="798"/>
      <c r="N30" s="798"/>
    </row>
    <row r="31" spans="1:26" ht="30.75" customHeight="1" x14ac:dyDescent="0.3">
      <c r="A31" s="772"/>
      <c r="B31" s="772"/>
      <c r="C31" s="772"/>
      <c r="D31" s="772"/>
      <c r="E31" s="772"/>
      <c r="F31" s="4"/>
      <c r="G31" s="774"/>
      <c r="H31" s="775"/>
      <c r="I31" s="775"/>
      <c r="J31" s="80"/>
      <c r="K31" s="91"/>
      <c r="L31" s="790" t="s">
        <v>13</v>
      </c>
      <c r="M31" s="790"/>
      <c r="N31" s="790"/>
    </row>
    <row r="32" spans="1:26" ht="12.75" customHeight="1" x14ac:dyDescent="0.25">
      <c r="J32" s="80"/>
      <c r="K32" s="73"/>
      <c r="L32" s="74" t="s">
        <v>14</v>
      </c>
      <c r="M32" s="74"/>
      <c r="N32" s="74"/>
      <c r="O32" s="74"/>
      <c r="P32" s="74"/>
      <c r="Q32" s="74"/>
      <c r="R32" s="74"/>
    </row>
    <row r="33" spans="1:18" ht="12.75" customHeight="1" x14ac:dyDescent="0.3">
      <c r="A33" s="772"/>
      <c r="B33" s="772"/>
      <c r="C33" s="772"/>
      <c r="D33" s="772"/>
      <c r="E33" s="772"/>
      <c r="F33" s="4"/>
      <c r="G33" s="776"/>
      <c r="H33" s="775"/>
      <c r="I33" s="775"/>
      <c r="J33" s="80"/>
      <c r="L33" t="s">
        <v>15</v>
      </c>
      <c r="P33" s="7" t="s">
        <v>16</v>
      </c>
      <c r="Q33" s="795">
        <f>TotExpSchoolwide</f>
        <v>3604245</v>
      </c>
      <c r="R33" s="795"/>
    </row>
    <row r="34" spans="1:18" ht="12.75" customHeight="1" x14ac:dyDescent="0.25">
      <c r="A34" s="773" t="s">
        <v>17</v>
      </c>
      <c r="B34" s="773"/>
      <c r="C34" s="773"/>
      <c r="D34" s="773"/>
      <c r="E34" s="773"/>
      <c r="F34" s="4"/>
      <c r="G34" s="773" t="s">
        <v>18</v>
      </c>
      <c r="H34" s="773"/>
      <c r="I34" s="773"/>
      <c r="J34" s="80"/>
      <c r="L34" t="s">
        <v>19</v>
      </c>
      <c r="P34" s="7" t="s">
        <v>16</v>
      </c>
      <c r="Q34" s="795">
        <f>SP1000ClassSiteProj</f>
        <v>486625</v>
      </c>
      <c r="R34" s="795"/>
    </row>
    <row r="35" spans="1:18" ht="12.75" customHeight="1" x14ac:dyDescent="0.25">
      <c r="J35" s="80"/>
    </row>
  </sheetData>
  <sheetProtection sheet="1" formatCells="0" formatColumns="0" formatRows="0"/>
  <mergeCells count="58">
    <mergeCell ref="T20:X23"/>
    <mergeCell ref="L28:N28"/>
    <mergeCell ref="L29:N29"/>
    <mergeCell ref="L26:N26"/>
    <mergeCell ref="P23:R23"/>
    <mergeCell ref="P24:R24"/>
    <mergeCell ref="P27:R27"/>
    <mergeCell ref="L23:N23"/>
    <mergeCell ref="Q34:R34"/>
    <mergeCell ref="L31:N31"/>
    <mergeCell ref="L19:R19"/>
    <mergeCell ref="L21:N21"/>
    <mergeCell ref="O20:R20"/>
    <mergeCell ref="Q33:R33"/>
    <mergeCell ref="P29:R29"/>
    <mergeCell ref="P28:R28"/>
    <mergeCell ref="L25:N25"/>
    <mergeCell ref="L30:N30"/>
    <mergeCell ref="M1:N1"/>
    <mergeCell ref="D2:I2"/>
    <mergeCell ref="D3:I3"/>
    <mergeCell ref="D4:I4"/>
    <mergeCell ref="L27:N27"/>
    <mergeCell ref="B19:I20"/>
    <mergeCell ref="A26:E26"/>
    <mergeCell ref="L24:N24"/>
    <mergeCell ref="G21:I21"/>
    <mergeCell ref="B14:J14"/>
    <mergeCell ref="A22:E22"/>
    <mergeCell ref="G22:I22"/>
    <mergeCell ref="A1:C1"/>
    <mergeCell ref="D1:I1"/>
    <mergeCell ref="B12:J12"/>
    <mergeCell ref="B18:J18"/>
    <mergeCell ref="L4:R18"/>
    <mergeCell ref="L2:R3"/>
    <mergeCell ref="B6:I6"/>
    <mergeCell ref="B8:I8"/>
    <mergeCell ref="A21:E21"/>
    <mergeCell ref="B7:I7"/>
    <mergeCell ref="B10:J10"/>
    <mergeCell ref="B16:J16"/>
    <mergeCell ref="A6:A7"/>
    <mergeCell ref="A11:C11"/>
    <mergeCell ref="D11:J11"/>
    <mergeCell ref="G34:I34"/>
    <mergeCell ref="G24:I24"/>
    <mergeCell ref="G26:I26"/>
    <mergeCell ref="G28:I28"/>
    <mergeCell ref="G30:I30"/>
    <mergeCell ref="G31:I31"/>
    <mergeCell ref="G33:I33"/>
    <mergeCell ref="A24:E24"/>
    <mergeCell ref="A28:E28"/>
    <mergeCell ref="A30:E30"/>
    <mergeCell ref="A31:E31"/>
    <mergeCell ref="A34:E34"/>
    <mergeCell ref="A33:E33"/>
  </mergeCells>
  <conditionalFormatting sqref="A16:B16">
    <cfRule type="expression" priority="23" stopIfTrue="1">
      <formula>$A$16="X"</formula>
    </cfRule>
  </conditionalFormatting>
  <conditionalFormatting sqref="B10">
    <cfRule type="expression" dxfId="84" priority="28" stopIfTrue="1">
      <formula>$A$10="X"</formula>
    </cfRule>
  </conditionalFormatting>
  <conditionalFormatting sqref="B12 B14">
    <cfRule type="expression" priority="26" stopIfTrue="1">
      <formula>$A$14="X"</formula>
    </cfRule>
  </conditionalFormatting>
  <conditionalFormatting sqref="B12 D11">
    <cfRule type="expression" priority="27" stopIfTrue="1">
      <formula>$A$12="X"</formula>
    </cfRule>
  </conditionalFormatting>
  <conditionalFormatting sqref="D1 M1 R1">
    <cfRule type="expression" dxfId="83" priority="6" stopIfTrue="1">
      <formula>D1=""</formula>
    </cfRule>
  </conditionalFormatting>
  <conditionalFormatting sqref="D3:I3">
    <cfRule type="expression" dxfId="82" priority="4" stopIfTrue="1">
      <formula>$D$3=""</formula>
    </cfRule>
  </conditionalFormatting>
  <conditionalFormatting sqref="G22 G24 G26 G28 G30:G31 G33">
    <cfRule type="expression" dxfId="81" priority="5" stopIfTrue="1">
      <formula>$G22=""</formula>
    </cfRule>
  </conditionalFormatting>
  <conditionalFormatting sqref="L2:R3">
    <cfRule type="expression" dxfId="80" priority="15" stopIfTrue="1">
      <formula>$L$4&lt;&gt;""</formula>
    </cfRule>
  </conditionalFormatting>
  <conditionalFormatting sqref="N20 P23 L25 P28 L30">
    <cfRule type="expression" dxfId="79" priority="3" stopIfTrue="1">
      <formula>L20=""</formula>
    </cfRule>
  </conditionalFormatting>
  <conditionalFormatting sqref="T20">
    <cfRule type="expression" dxfId="78" priority="1" stopIfTrue="1">
      <formula>$Z$20="X"</formula>
    </cfRule>
  </conditionalFormatting>
  <dataValidations xWindow="701" yWindow="156" count="3">
    <dataValidation type="textLength" operator="equal" showInputMessage="1" showErrorMessage="1" prompt="This cell will only accept entries equal to 9 digits.  Charter schools must enter their CTD number plus 3 zeros." sqref="R1" xr:uid="{00000000-0002-0000-0100-000000000000}">
      <formula1>9</formula1>
    </dataValidation>
    <dataValidation type="date" operator="greaterThanOrEqual" allowBlank="1" showInputMessage="1" showErrorMessage="1" errorTitle="Date" error="Enter Valid Date_x000a_MM/DD/YYYY" promptTitle="Enter Date as" prompt="MM/DD/YYYY" sqref="N20" xr:uid="{00000000-0002-0000-0100-000001000000}">
      <formula1>42962</formula1>
    </dataValidation>
    <dataValidation type="list" allowBlank="1" showInputMessage="1" showErrorMessage="1" sqref="A14 A16 A12 A10 A18 Z20" xr:uid="{00000000-0002-0000-0100-000002000000}">
      <formula1>"X"</formula1>
    </dataValidation>
  </dataValidations>
  <hyperlinks>
    <hyperlink ref="A5" location="Instructions!A1" display="Instructions" xr:uid="{2B861A0A-DFC1-49B7-96B3-7836031BE8DE}"/>
    <hyperlink ref="A6:A7" location="Instructions!C4" display="Complete the Cover, School listing, and Accounting data tabs first. See instructions." xr:uid="{C77033CF-216B-4EE9-AB21-BE48DA9EFF98}"/>
    <hyperlink ref="A11:C11" location="websitelink" display="Charter website link of posted AFR" xr:uid="{D5CF705E-272C-4A1F-87E7-D9E01DFAACEB}"/>
  </hyperlinks>
  <pageMargins left="0.7" right="0.7" top="0.75" bottom="0.75" header="0.3" footer="0.3"/>
  <pageSetup scale="72" orientation="landscape" r:id="rId1"/>
  <headerFooter>
    <oddFooter>&amp;LRev. 8/25 Arizona Department of Education and Auditor General&amp;CFY 2025</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4E4D-A9EB-428D-BDA2-238716D84E95}">
  <sheetPr>
    <pageSetUpPr fitToPage="1"/>
  </sheetPr>
  <dimension ref="A1:AA64"/>
  <sheetViews>
    <sheetView showGridLines="0" topLeftCell="A16" workbookViewId="0">
      <selection activeCell="K27" sqref="K27"/>
    </sheetView>
  </sheetViews>
  <sheetFormatPr defaultColWidth="9.33203125" defaultRowHeight="12.75" customHeight="1" x14ac:dyDescent="0.25"/>
  <cols>
    <col min="1" max="1" width="19.77734375" style="156" customWidth="1"/>
    <col min="2" max="2" width="42.77734375" style="156" customWidth="1"/>
    <col min="3" max="3" width="3" style="156" customWidth="1"/>
    <col min="4" max="6" width="16.77734375" style="156" customWidth="1"/>
    <col min="7" max="7" width="18.6640625" style="156" customWidth="1"/>
    <col min="8" max="10" width="17.77734375" style="159" customWidth="1"/>
    <col min="11" max="11" width="16.77734375" style="159" customWidth="1"/>
    <col min="12" max="12" width="3" style="156" customWidth="1"/>
    <col min="13" max="13" width="10.77734375" style="156" customWidth="1"/>
    <col min="14" max="14" width="9.33203125" style="156" customWidth="1"/>
    <col min="15" max="15" width="2.33203125" style="156" customWidth="1"/>
    <col min="16" max="16" width="9.33203125" style="156" customWidth="1"/>
    <col min="17" max="25" width="9.33203125" style="156" hidden="1" customWidth="1"/>
    <col min="26" max="29" width="9.33203125" style="156" customWidth="1"/>
    <col min="30" max="16384" width="9.33203125" style="156"/>
  </cols>
  <sheetData>
    <row r="1" spans="1:27" ht="12" customHeight="1" x14ac:dyDescent="0.25">
      <c r="A1" s="3" t="s">
        <v>0</v>
      </c>
      <c r="B1" s="1" t="str">
        <f>'Cover Page'!D1</f>
        <v>Highland Prep West</v>
      </c>
      <c r="C1" s="4"/>
      <c r="D1"/>
      <c r="E1" s="64" t="s">
        <v>1</v>
      </c>
      <c r="F1" s="802" t="str">
        <f>'Cover Page'!M1</f>
        <v>Maricopa</v>
      </c>
      <c r="G1" s="802"/>
      <c r="H1"/>
      <c r="I1" s="64"/>
      <c r="J1" s="64" t="s">
        <v>2</v>
      </c>
      <c r="K1" s="2" t="str">
        <f>'Cover Page'!R1</f>
        <v>078419000</v>
      </c>
      <c r="L1" s="262"/>
      <c r="M1" s="4"/>
      <c r="N1" s="582"/>
      <c r="O1" s="582"/>
    </row>
    <row r="2" spans="1:27" ht="12" customHeight="1" x14ac:dyDescent="0.25">
      <c r="A2" s="64"/>
      <c r="B2" s="64"/>
      <c r="C2" s="3"/>
      <c r="D2" s="4"/>
      <c r="E2"/>
      <c r="F2"/>
      <c r="G2"/>
      <c r="H2" s="64"/>
      <c r="I2" s="4"/>
      <c r="J2" s="4"/>
      <c r="K2" s="4"/>
      <c r="L2"/>
      <c r="M2" s="4"/>
      <c r="N2" s="582"/>
      <c r="O2" s="582"/>
    </row>
    <row r="3" spans="1:27" ht="12" customHeight="1" x14ac:dyDescent="0.25">
      <c r="A3" s="263"/>
      <c r="B3" s="263"/>
      <c r="C3" s="263"/>
      <c r="D3" s="263"/>
      <c r="E3" s="263"/>
      <c r="F3" s="263"/>
      <c r="G3" s="263"/>
      <c r="H3" s="263"/>
      <c r="I3" s="263"/>
      <c r="J3" s="263"/>
      <c r="K3" s="263"/>
      <c r="L3" s="263"/>
      <c r="M3" s="263"/>
    </row>
    <row r="4" spans="1:27" ht="12" customHeight="1" x14ac:dyDescent="0.25">
      <c r="A4" s="263"/>
      <c r="B4" s="263"/>
      <c r="C4" s="897" t="s">
        <v>350</v>
      </c>
      <c r="D4" s="897"/>
      <c r="E4" s="897"/>
      <c r="F4" s="897"/>
      <c r="G4" s="897"/>
      <c r="H4" s="897"/>
      <c r="I4" s="897"/>
      <c r="J4" s="897"/>
      <c r="K4" s="897"/>
      <c r="L4" s="897"/>
      <c r="M4" s="263"/>
    </row>
    <row r="5" spans="1:27" ht="12" customHeight="1" x14ac:dyDescent="0.25">
      <c r="B5" s="659" t="s">
        <v>726</v>
      </c>
    </row>
    <row r="6" spans="1:27" ht="12" customHeight="1" x14ac:dyDescent="0.25">
      <c r="A6" s="264"/>
      <c r="B6" s="264"/>
      <c r="D6" s="898" t="s">
        <v>351</v>
      </c>
      <c r="E6" s="898"/>
      <c r="F6" s="898"/>
      <c r="G6" s="898"/>
      <c r="H6" s="898"/>
      <c r="I6" s="898"/>
      <c r="J6" s="898"/>
      <c r="K6" s="898"/>
      <c r="L6" s="265"/>
      <c r="M6" s="159"/>
      <c r="N6" s="159"/>
      <c r="V6" s="266"/>
    </row>
    <row r="7" spans="1:27" ht="12" customHeight="1" x14ac:dyDescent="0.25">
      <c r="D7" s="267"/>
      <c r="E7" s="268"/>
      <c r="F7" s="268" t="s">
        <v>150</v>
      </c>
      <c r="G7" s="268"/>
      <c r="H7" s="268"/>
      <c r="I7" s="269"/>
      <c r="J7" s="269" t="s">
        <v>94</v>
      </c>
      <c r="K7" s="270"/>
      <c r="L7" s="271"/>
      <c r="M7" s="159"/>
      <c r="N7" s="159"/>
      <c r="T7" s="266"/>
      <c r="V7" s="266"/>
    </row>
    <row r="8" spans="1:27" ht="12" customHeight="1" x14ac:dyDescent="0.25">
      <c r="D8" s="272"/>
      <c r="E8" s="273" t="s">
        <v>85</v>
      </c>
      <c r="F8" s="273" t="s">
        <v>92</v>
      </c>
      <c r="G8" s="273"/>
      <c r="H8" s="274" t="s">
        <v>352</v>
      </c>
      <c r="I8" s="274"/>
      <c r="J8" s="274" t="s">
        <v>353</v>
      </c>
      <c r="K8" s="270"/>
      <c r="L8" s="275"/>
      <c r="N8" s="159"/>
      <c r="U8" s="266"/>
    </row>
    <row r="9" spans="1:27" ht="12" customHeight="1" x14ac:dyDescent="0.25">
      <c r="D9" s="273" t="s">
        <v>90</v>
      </c>
      <c r="E9" s="276" t="s">
        <v>91</v>
      </c>
      <c r="F9" s="276" t="s">
        <v>354</v>
      </c>
      <c r="G9" s="276" t="s">
        <v>93</v>
      </c>
      <c r="H9" s="274" t="s">
        <v>355</v>
      </c>
      <c r="I9" s="277" t="s">
        <v>356</v>
      </c>
      <c r="J9" s="277" t="s">
        <v>357</v>
      </c>
      <c r="K9" s="278" t="s">
        <v>358</v>
      </c>
      <c r="L9" s="275"/>
      <c r="N9" s="159"/>
      <c r="U9" s="266"/>
      <c r="AA9" s="266"/>
    </row>
    <row r="10" spans="1:27" ht="12" customHeight="1" x14ac:dyDescent="0.25">
      <c r="A10" s="279" t="s">
        <v>359</v>
      </c>
      <c r="B10" s="279"/>
      <c r="D10" s="276">
        <v>6100</v>
      </c>
      <c r="E10" s="276">
        <v>6200</v>
      </c>
      <c r="F10" s="276">
        <v>6500</v>
      </c>
      <c r="G10" s="276">
        <v>6600</v>
      </c>
      <c r="H10" s="276">
        <v>6810</v>
      </c>
      <c r="I10" s="277">
        <v>6890</v>
      </c>
      <c r="J10" s="277" t="s">
        <v>360</v>
      </c>
      <c r="K10" s="280" t="s">
        <v>361</v>
      </c>
      <c r="L10" s="275"/>
      <c r="N10" s="159"/>
      <c r="S10" s="266"/>
      <c r="AA10" s="159"/>
    </row>
    <row r="11" spans="1:27" ht="12" customHeight="1" x14ac:dyDescent="0.25">
      <c r="A11" s="579" t="s">
        <v>197</v>
      </c>
      <c r="B11" s="579"/>
      <c r="C11" s="281" t="s">
        <v>24</v>
      </c>
      <c r="D11" s="554">
        <f>Calculations!E8</f>
        <v>1292281</v>
      </c>
      <c r="E11" s="554">
        <f>Calculations!E113</f>
        <v>61762</v>
      </c>
      <c r="F11" s="554">
        <f>Calculations!E238</f>
        <v>558856</v>
      </c>
      <c r="G11" s="554">
        <f>Calculations!E636</f>
        <v>685515</v>
      </c>
      <c r="H11" s="554">
        <f>Calculations!E951</f>
        <v>0</v>
      </c>
      <c r="I11" s="554">
        <f>Calculations!E1116</f>
        <v>0</v>
      </c>
      <c r="J11" s="554">
        <f>Calculations!E1454-H11-I11</f>
        <v>0</v>
      </c>
      <c r="K11" s="547">
        <v>83524</v>
      </c>
      <c r="L11" s="282" t="s">
        <v>24</v>
      </c>
      <c r="N11" s="159"/>
      <c r="S11" s="266"/>
      <c r="AA11" s="283" t="str">
        <f>IF(OR(K11="",K14="",K13="",K15="",K16="",K17="",K18="",K19="",K21="",K22="",K24="",K25="",K26=""),"yes","")</f>
        <v/>
      </c>
    </row>
    <row r="12" spans="1:27" ht="12" customHeight="1" x14ac:dyDescent="0.25">
      <c r="A12" s="156" t="s">
        <v>198</v>
      </c>
      <c r="C12" s="281"/>
      <c r="D12" s="284"/>
      <c r="E12" s="284"/>
      <c r="F12" s="284"/>
      <c r="G12" s="284"/>
      <c r="H12" s="284"/>
      <c r="I12" s="284"/>
      <c r="J12" s="284"/>
      <c r="K12" s="90"/>
      <c r="L12" s="282"/>
      <c r="N12" s="159"/>
      <c r="S12" s="266"/>
      <c r="AA12" s="283" t="str">
        <f>IF(OR(E33="",E34="",E35="",E36="",E40="",E41="",E42="",E43="",E44="",E49="",E53="",E54="",E55="",E56=""),"yes","")</f>
        <v>yes</v>
      </c>
    </row>
    <row r="13" spans="1:27" ht="12" customHeight="1" x14ac:dyDescent="0.25">
      <c r="A13" s="579" t="s">
        <v>362</v>
      </c>
      <c r="B13" s="579"/>
      <c r="C13" s="281" t="s">
        <v>26</v>
      </c>
      <c r="D13" s="559">
        <f>Calculations!E15</f>
        <v>6840</v>
      </c>
      <c r="E13" s="559">
        <f>Calculations!E120</f>
        <v>0</v>
      </c>
      <c r="F13" s="559">
        <f>Calculations!E265</f>
        <v>174922</v>
      </c>
      <c r="G13" s="559">
        <f>Calculations!E643</f>
        <v>355</v>
      </c>
      <c r="H13" s="559">
        <f>Calculations!E958</f>
        <v>0</v>
      </c>
      <c r="I13" s="559">
        <f>Calculations!E1123</f>
        <v>0</v>
      </c>
      <c r="J13" s="559">
        <f>Calculations!E1459-H13-I13</f>
        <v>0</v>
      </c>
      <c r="K13" s="55">
        <v>0</v>
      </c>
      <c r="L13" s="282" t="s">
        <v>26</v>
      </c>
      <c r="W13" s="266"/>
      <c r="AA13" s="283" t="str">
        <f>IF(OR(K30="",K31="",K32="",K36="",K37="",K38="",K41="",K42="",K46="",K47="",K51="",K52="",K53="",K54="",K55="",K56="",K59="",K60=""),"yes","")</f>
        <v>yes</v>
      </c>
    </row>
    <row r="14" spans="1:27" ht="12" customHeight="1" x14ac:dyDescent="0.25">
      <c r="A14" s="579" t="s">
        <v>363</v>
      </c>
      <c r="B14" s="579"/>
      <c r="C14" s="281" t="s">
        <v>28</v>
      </c>
      <c r="D14" s="554">
        <f>Calculations!E22</f>
        <v>0</v>
      </c>
      <c r="E14" s="554">
        <f>Calculations!E127</f>
        <v>0</v>
      </c>
      <c r="F14" s="554">
        <f>Calculations!E292</f>
        <v>1</v>
      </c>
      <c r="G14" s="554">
        <f>Calculations!E650</f>
        <v>0</v>
      </c>
      <c r="H14" s="554">
        <f>Calculations!E965</f>
        <v>0</v>
      </c>
      <c r="I14" s="554">
        <f>Calculations!E1130</f>
        <v>0</v>
      </c>
      <c r="J14" s="554">
        <f>Calculations!E1464-H14-I14</f>
        <v>0</v>
      </c>
      <c r="K14" s="55">
        <v>0</v>
      </c>
      <c r="L14" s="285" t="s">
        <v>28</v>
      </c>
      <c r="N14" s="159"/>
      <c r="W14" s="266"/>
      <c r="AA14" s="283" t="str">
        <f>IF(AND(AA11="",AA12="",AA13=""),"","yes")</f>
        <v>yes</v>
      </c>
    </row>
    <row r="15" spans="1:27" ht="12" customHeight="1" x14ac:dyDescent="0.25">
      <c r="A15" s="579" t="s">
        <v>364</v>
      </c>
      <c r="B15" s="579"/>
      <c r="C15" s="281" t="s">
        <v>31</v>
      </c>
      <c r="D15" s="554">
        <f>Calculations!E29</f>
        <v>0</v>
      </c>
      <c r="E15" s="554">
        <f>Calculations!E134</f>
        <v>0</v>
      </c>
      <c r="F15" s="554">
        <f>Calculations!E319</f>
        <v>0</v>
      </c>
      <c r="G15" s="554">
        <f>Calculations!E657</f>
        <v>0</v>
      </c>
      <c r="H15" s="554">
        <f>Calculations!E972</f>
        <v>0</v>
      </c>
      <c r="I15" s="554">
        <f>Calculations!E1137</f>
        <v>0</v>
      </c>
      <c r="J15" s="554">
        <f>Calculations!E1469-H15-I15</f>
        <v>0</v>
      </c>
      <c r="K15" s="54">
        <v>0</v>
      </c>
      <c r="L15" s="285" t="s">
        <v>31</v>
      </c>
    </row>
    <row r="16" spans="1:27" ht="12" customHeight="1" x14ac:dyDescent="0.25">
      <c r="A16" s="286" t="s">
        <v>365</v>
      </c>
      <c r="B16" s="286"/>
      <c r="C16" s="287" t="s">
        <v>33</v>
      </c>
      <c r="D16" s="554">
        <f>Calculations!E36</f>
        <v>227412</v>
      </c>
      <c r="E16" s="554">
        <f>Calculations!E141</f>
        <v>24589</v>
      </c>
      <c r="F16" s="554">
        <f>Calculations!E346</f>
        <v>287857</v>
      </c>
      <c r="G16" s="554">
        <f>Calculations!E664</f>
        <v>38123</v>
      </c>
      <c r="H16" s="554">
        <f>Calculations!E979</f>
        <v>0</v>
      </c>
      <c r="I16" s="554">
        <f>Calculations!E1144</f>
        <v>0</v>
      </c>
      <c r="J16" s="554">
        <f>Calculations!E1474-H16-I16</f>
        <v>0</v>
      </c>
      <c r="K16" s="54">
        <v>0</v>
      </c>
      <c r="L16" s="288" t="s">
        <v>33</v>
      </c>
    </row>
    <row r="17" spans="1:12" ht="12" customHeight="1" x14ac:dyDescent="0.25">
      <c r="A17" s="289" t="s">
        <v>366</v>
      </c>
      <c r="B17" s="289"/>
      <c r="C17" s="287" t="s">
        <v>35</v>
      </c>
      <c r="D17" s="554">
        <f>Calculations!E43+Calculations!E50</f>
        <v>0</v>
      </c>
      <c r="E17" s="554">
        <f>Calculations!E148+Calculations!E155</f>
        <v>0</v>
      </c>
      <c r="F17" s="554">
        <f>Calculations!E373+Calculations!E400</f>
        <v>26106</v>
      </c>
      <c r="G17" s="554">
        <f>Calculations!E671+Calculations!E678</f>
        <v>205104</v>
      </c>
      <c r="H17" s="554">
        <f>Calculations!E986+Calculations!E993</f>
        <v>0</v>
      </c>
      <c r="I17" s="554">
        <f>Calculations!E1151+Calculations!E1158</f>
        <v>0</v>
      </c>
      <c r="J17" s="554">
        <f>Calculations!E1479+Calculations!E1484-Calculations!E1082-H17-I17</f>
        <v>0</v>
      </c>
      <c r="K17" s="54">
        <v>0</v>
      </c>
      <c r="L17" s="288" t="s">
        <v>35</v>
      </c>
    </row>
    <row r="18" spans="1:12" ht="12" customHeight="1" x14ac:dyDescent="0.25">
      <c r="A18" s="579" t="s">
        <v>367</v>
      </c>
      <c r="B18" s="579"/>
      <c r="C18" s="287" t="s">
        <v>36</v>
      </c>
      <c r="D18" s="554">
        <f>Calculations!E57</f>
        <v>0</v>
      </c>
      <c r="E18" s="554">
        <f>Calculations!E162</f>
        <v>0</v>
      </c>
      <c r="F18" s="554">
        <f>Calculations!E427</f>
        <v>1004527</v>
      </c>
      <c r="G18" s="554">
        <f>Calculations!E685</f>
        <v>100</v>
      </c>
      <c r="H18" s="554">
        <f>Calculations!E1000</f>
        <v>0</v>
      </c>
      <c r="I18" s="554">
        <f>Calculations!E1165</f>
        <v>0</v>
      </c>
      <c r="J18" s="554">
        <f>Calculations!E1489-H18-I18</f>
        <v>0</v>
      </c>
      <c r="K18" s="54">
        <v>0</v>
      </c>
      <c r="L18" s="288" t="s">
        <v>36</v>
      </c>
    </row>
    <row r="19" spans="1:12" ht="12" customHeight="1" x14ac:dyDescent="0.25">
      <c r="A19" s="290" t="s">
        <v>368</v>
      </c>
      <c r="B19" s="290"/>
      <c r="C19" s="287" t="s">
        <v>38</v>
      </c>
      <c r="D19" s="554">
        <f>Calculations!E64</f>
        <v>0</v>
      </c>
      <c r="E19" s="554">
        <f>Calculations!E169</f>
        <v>0</v>
      </c>
      <c r="F19" s="554">
        <f>Calculations!E454</f>
        <v>0</v>
      </c>
      <c r="G19" s="554">
        <f>Calculations!E692</f>
        <v>8911</v>
      </c>
      <c r="H19" s="554">
        <f>Calculations!E1007</f>
        <v>0</v>
      </c>
      <c r="I19" s="554">
        <f>Calculations!E1172</f>
        <v>0</v>
      </c>
      <c r="J19" s="554">
        <f>Calculations!E1494-H19-I19</f>
        <v>0</v>
      </c>
      <c r="K19" s="57">
        <v>0</v>
      </c>
      <c r="L19" s="288" t="s">
        <v>38</v>
      </c>
    </row>
    <row r="20" spans="1:12" ht="12" customHeight="1" x14ac:dyDescent="0.25">
      <c r="A20" s="579" t="s">
        <v>369</v>
      </c>
      <c r="B20" s="579"/>
      <c r="C20" s="287"/>
      <c r="D20" s="284"/>
      <c r="E20" s="284"/>
      <c r="F20" s="284"/>
      <c r="G20" s="284"/>
      <c r="H20" s="284"/>
      <c r="I20" s="284"/>
      <c r="J20" s="284"/>
      <c r="K20" s="90"/>
      <c r="L20" s="291"/>
    </row>
    <row r="21" spans="1:12" ht="12" customHeight="1" x14ac:dyDescent="0.25">
      <c r="A21" s="290" t="s">
        <v>370</v>
      </c>
      <c r="B21" s="290"/>
      <c r="C21" s="287" t="s">
        <v>40</v>
      </c>
      <c r="D21" s="559">
        <f>Calculations!E71</f>
        <v>0</v>
      </c>
      <c r="E21" s="559">
        <f>Calculations!E176</f>
        <v>0</v>
      </c>
      <c r="F21" s="559">
        <f>Calculations!E481</f>
        <v>109514</v>
      </c>
      <c r="G21" s="559">
        <f>Calculations!E699</f>
        <v>0</v>
      </c>
      <c r="H21" s="559">
        <f>Calculations!E1014</f>
        <v>0</v>
      </c>
      <c r="I21" s="559">
        <f>Calculations!E1179</f>
        <v>0</v>
      </c>
      <c r="J21" s="559">
        <f>Calculations!E1499-H21-I21</f>
        <v>0</v>
      </c>
      <c r="K21" s="55">
        <v>0</v>
      </c>
      <c r="L21" s="291" t="s">
        <v>40</v>
      </c>
    </row>
    <row r="22" spans="1:12" ht="12" customHeight="1" x14ac:dyDescent="0.25">
      <c r="A22" s="290" t="s">
        <v>371</v>
      </c>
      <c r="B22" s="290"/>
      <c r="C22" s="287" t="s">
        <v>42</v>
      </c>
      <c r="D22" s="554">
        <f>Calculations!E85</f>
        <v>0</v>
      </c>
      <c r="E22" s="554">
        <f>Calculations!E190</f>
        <v>0</v>
      </c>
      <c r="F22" s="554">
        <f>Calculations!E535</f>
        <v>0</v>
      </c>
      <c r="G22" s="554">
        <f>Calculations!E713</f>
        <v>0</v>
      </c>
      <c r="H22" s="554">
        <f>Calculations!E1028</f>
        <v>0</v>
      </c>
      <c r="I22" s="554">
        <f>Calculations!E1193</f>
        <v>0</v>
      </c>
      <c r="J22" s="554">
        <f>Calculations!E1504-H22-I22</f>
        <v>0</v>
      </c>
      <c r="K22" s="55">
        <v>0</v>
      </c>
      <c r="L22" s="288" t="s">
        <v>42</v>
      </c>
    </row>
    <row r="23" spans="1:12" ht="12" customHeight="1" x14ac:dyDescent="0.25">
      <c r="A23" s="290" t="s">
        <v>372</v>
      </c>
      <c r="B23" s="290"/>
      <c r="C23" s="287" t="s">
        <v>44</v>
      </c>
      <c r="D23" s="554">
        <f t="shared" ref="D23:K23" si="0">SUM(D11:D22)</f>
        <v>1526533</v>
      </c>
      <c r="E23" s="554">
        <f t="shared" si="0"/>
        <v>86351</v>
      </c>
      <c r="F23" s="554">
        <f t="shared" si="0"/>
        <v>2161783</v>
      </c>
      <c r="G23" s="554">
        <f t="shared" si="0"/>
        <v>938108</v>
      </c>
      <c r="H23" s="554">
        <f t="shared" si="0"/>
        <v>0</v>
      </c>
      <c r="I23" s="554">
        <f t="shared" si="0"/>
        <v>0</v>
      </c>
      <c r="J23" s="554">
        <f t="shared" si="0"/>
        <v>0</v>
      </c>
      <c r="K23" s="554">
        <f t="shared" si="0"/>
        <v>83524</v>
      </c>
      <c r="L23" s="288" t="s">
        <v>44</v>
      </c>
    </row>
    <row r="24" spans="1:12" ht="12" customHeight="1" x14ac:dyDescent="0.25">
      <c r="A24" s="290" t="s">
        <v>373</v>
      </c>
      <c r="B24" s="290"/>
      <c r="C24" s="287" t="s">
        <v>45</v>
      </c>
      <c r="D24" s="554">
        <f>Calculations!E106</f>
        <v>59333</v>
      </c>
      <c r="E24" s="554">
        <f>Calculations!E211</f>
        <v>0</v>
      </c>
      <c r="F24" s="554">
        <f>Calculations!E629</f>
        <v>179430</v>
      </c>
      <c r="G24" s="552">
        <f>Calculations!E734+'Food Service'!$E$10+'Food Service'!$E$11</f>
        <v>305286</v>
      </c>
      <c r="H24" s="554">
        <f>Calculations!E1049</f>
        <v>0</v>
      </c>
      <c r="I24" s="554">
        <f>Calculations!E1214</f>
        <v>0</v>
      </c>
      <c r="J24" s="554">
        <f>Calculations!E1518-Calculations!E1109-H24-I24</f>
        <v>0</v>
      </c>
      <c r="K24" s="54">
        <v>0</v>
      </c>
      <c r="L24" s="288" t="s">
        <v>45</v>
      </c>
    </row>
    <row r="25" spans="1:12" ht="12" customHeight="1" x14ac:dyDescent="0.25">
      <c r="A25" s="290" t="s">
        <v>374</v>
      </c>
      <c r="B25" s="290"/>
      <c r="C25" s="287" t="s">
        <v>47</v>
      </c>
      <c r="D25" s="554">
        <f>Calculations!E93-Calculations!E106</f>
        <v>1467200</v>
      </c>
      <c r="E25" s="554">
        <f>Calculations!E198-Calculations!E211</f>
        <v>86351</v>
      </c>
      <c r="F25" s="554">
        <f>Calculations!E563-Calculations!E629</f>
        <v>1982353</v>
      </c>
      <c r="G25" s="552">
        <f>Calculations!E721-Calculations!E734-'Food Service'!$E$10-'Food Service'!$E$11</f>
        <v>632822</v>
      </c>
      <c r="H25" s="554">
        <f>Calculations!E1036-Calculations!E1049</f>
        <v>0</v>
      </c>
      <c r="I25" s="554">
        <f>Calculations!E1201-Calculations!E1214</f>
        <v>0</v>
      </c>
      <c r="J25" s="554">
        <f>Calculations!E1505-Calculations!E1518-Calculations!E1082-H25-I25</f>
        <v>0</v>
      </c>
      <c r="K25" s="54">
        <v>0</v>
      </c>
      <c r="L25" s="288" t="s">
        <v>47</v>
      </c>
    </row>
    <row r="26" spans="1:12" ht="12" customHeight="1" x14ac:dyDescent="0.25">
      <c r="A26" s="290" t="s">
        <v>375</v>
      </c>
      <c r="B26" s="290"/>
      <c r="C26" s="287" t="s">
        <v>49</v>
      </c>
      <c r="D26" s="554">
        <f>Calculations!E92</f>
        <v>0</v>
      </c>
      <c r="E26" s="554">
        <f>Calculations!E197</f>
        <v>0</v>
      </c>
      <c r="F26" s="554">
        <f>Calculations!E562</f>
        <v>0</v>
      </c>
      <c r="G26" s="554">
        <f>Calculations!E720</f>
        <v>0</v>
      </c>
      <c r="H26" s="554">
        <f>Calculations!E1035</f>
        <v>0</v>
      </c>
      <c r="I26" s="554">
        <f>Calculations!E1200</f>
        <v>0</v>
      </c>
      <c r="J26" s="554">
        <f>Calculations!E1523-H26-I26</f>
        <v>0</v>
      </c>
      <c r="K26" s="54">
        <v>0</v>
      </c>
      <c r="L26" s="288" t="s">
        <v>49</v>
      </c>
    </row>
    <row r="27" spans="1:12" ht="12" customHeight="1" x14ac:dyDescent="0.25">
      <c r="B27" s="579"/>
      <c r="C27" s="287"/>
      <c r="D27" s="292"/>
      <c r="E27" s="292"/>
      <c r="F27" s="292"/>
      <c r="G27" s="292"/>
      <c r="H27" s="292"/>
      <c r="I27" s="292"/>
      <c r="J27" s="292"/>
      <c r="K27" s="293"/>
      <c r="L27" s="292"/>
    </row>
    <row r="28" spans="1:12" ht="13.2" hidden="1" x14ac:dyDescent="0.25">
      <c r="A28" s="294"/>
      <c r="B28" s="579"/>
      <c r="C28" s="287"/>
      <c r="D28" s="292"/>
      <c r="E28" s="292"/>
      <c r="F28" s="292"/>
      <c r="G28" s="292"/>
      <c r="H28" s="292"/>
      <c r="I28" s="292"/>
      <c r="J28" s="292"/>
      <c r="K28" s="293"/>
      <c r="L28" s="292"/>
    </row>
    <row r="29" spans="1:12" ht="12" customHeight="1" x14ac:dyDescent="0.25">
      <c r="A29" s="295"/>
      <c r="B29" s="295"/>
      <c r="C29" s="295"/>
      <c r="D29" s="296" t="s">
        <v>376</v>
      </c>
      <c r="E29" s="297"/>
      <c r="F29" s="298"/>
      <c r="H29" s="299" t="s">
        <v>1298</v>
      </c>
      <c r="I29" s="214"/>
      <c r="J29" s="299"/>
    </row>
    <row r="30" spans="1:12" ht="12" customHeight="1" x14ac:dyDescent="0.25">
      <c r="A30" s="295"/>
      <c r="B30" s="295"/>
      <c r="C30" s="300"/>
      <c r="D30" s="155" t="s">
        <v>377</v>
      </c>
      <c r="E30" s="301"/>
      <c r="F30" s="298"/>
      <c r="H30" s="895" t="s">
        <v>378</v>
      </c>
      <c r="I30" s="895"/>
      <c r="J30" s="899"/>
      <c r="K30" s="54"/>
      <c r="L30" s="302" t="s">
        <v>24</v>
      </c>
    </row>
    <row r="31" spans="1:12" ht="12" customHeight="1" x14ac:dyDescent="0.25">
      <c r="A31" s="295"/>
      <c r="B31" s="295"/>
      <c r="C31" s="300"/>
      <c r="D31" s="155" t="s">
        <v>379</v>
      </c>
      <c r="E31" s="303" t="s">
        <v>380</v>
      </c>
      <c r="F31" s="298"/>
      <c r="H31" s="895" t="s">
        <v>381</v>
      </c>
      <c r="I31" s="895"/>
      <c r="J31" s="899"/>
      <c r="K31" s="54"/>
      <c r="L31" s="302" t="s">
        <v>26</v>
      </c>
    </row>
    <row r="32" spans="1:12" ht="12" customHeight="1" x14ac:dyDescent="0.25">
      <c r="A32" s="295"/>
      <c r="B32" s="295"/>
      <c r="C32" s="300"/>
      <c r="D32" s="304" t="s">
        <v>382</v>
      </c>
      <c r="E32" s="305" t="s">
        <v>361</v>
      </c>
      <c r="F32" s="295"/>
      <c r="H32" s="895" t="s">
        <v>383</v>
      </c>
      <c r="I32" s="895"/>
      <c r="J32" s="899"/>
      <c r="K32" s="54"/>
      <c r="L32" s="302" t="s">
        <v>28</v>
      </c>
    </row>
    <row r="33" spans="1:12" ht="12" customHeight="1" x14ac:dyDescent="0.25">
      <c r="A33" s="893" t="s">
        <v>384</v>
      </c>
      <c r="B33" s="893"/>
      <c r="C33" s="306"/>
      <c r="D33" s="554">
        <f t="array" ref="D33">SUM(SUMIFS('Accounting data'!$G$2:$G$37000,'Accounting data'!$I$2:$I$37000,"7*",'Accounting data'!$J$2:$J$37000,{"1*","2*","3*","4*","5*"},'Accounting data'!$K$2:$K$37000,"6*"))-SUM(SUMIFS('Accounting data'!$G$2:$G$37000,'Accounting data'!$I$2:$I$37000,"7*",'Accounting data'!$J$2:$J$37000,{"1*","2*","3*","4*","5*"},'Accounting data'!$K$2:$K$37000,"67*"))-SUM(SUMIFS('Accounting data'!$G$2:$G$37000,'Accounting data'!$I$2:$I$37000,"7*",'Accounting data'!$J$2:$J$37000,{"1*","2*","3*","4*","5*"},'Accounting data'!$K$2:$K$37000,"69*"))</f>
        <v>0</v>
      </c>
      <c r="E33" s="54"/>
      <c r="F33" s="307" t="s">
        <v>24</v>
      </c>
      <c r="H33" s="156"/>
      <c r="I33" s="156"/>
      <c r="J33" s="156"/>
      <c r="K33" s="308"/>
    </row>
    <row r="34" spans="1:12" ht="12" customHeight="1" x14ac:dyDescent="0.25">
      <c r="A34" s="895" t="s">
        <v>385</v>
      </c>
      <c r="B34" s="895"/>
      <c r="C34" s="580"/>
      <c r="D34" s="554">
        <f t="array" ref="D34">SUM(SUMIFS('Accounting data'!$G$2:$G$37000,'Accounting data'!$I$2:$I$37000,"8*",'Accounting data'!$J$2:$J$37000,{"1*","2*","3*","4*","5*"},'Accounting data'!$K$2:$K$37000,"6*"))-SUM(SUMIFS('Accounting data'!$G$2:$G$37000,'Accounting data'!$I$2:$I$37000,"8*",'Accounting data'!$J$2:$J$37000,{"1*","2*","3*","4*","5*"},'Accounting data'!$K$2:$K$37000,"67*"))-SUM(SUMIFS('Accounting data'!$G$2:$G$37000,'Accounting data'!$I$2:$I$37000,"8*",'Accounting data'!$J$2:$J$37000,{"1*","2*","3*","4*","5*"},'Accounting data'!$K$2:$K$37000,"69*"))</f>
        <v>0</v>
      </c>
      <c r="E34" s="54"/>
      <c r="F34" s="307" t="s">
        <v>26</v>
      </c>
      <c r="H34" s="156"/>
      <c r="I34" s="156"/>
      <c r="J34" s="156"/>
      <c r="K34" s="308"/>
    </row>
    <row r="35" spans="1:12" ht="12" customHeight="1" x14ac:dyDescent="0.25">
      <c r="A35" s="895" t="s">
        <v>386</v>
      </c>
      <c r="B35" s="895"/>
      <c r="C35" s="580"/>
      <c r="D35" s="554">
        <f t="array" ref="D35">SUM(SUMIFS('Accounting data'!$G$2:$G$37000,'Accounting data'!$I$2:$I$37000,"9*",'Accounting data'!$J$2:$J$37000,{"1*","2*","3*","4*","5*"},'Accounting data'!$K$2:$K$37000,"6*"))-SUM(SUMIFS('Accounting data'!$G$2:$G$37000,'Accounting data'!$I$2:$I$37000,"9*",'Accounting data'!$J$2:$J$37000,{"1*","2*","3*","4*","5*"},'Accounting data'!$K$2:$K$37000,"67*"))-SUM(SUMIFS('Accounting data'!$G$2:$G$37000,'Accounting data'!$I$2:$I$37000,"9*",'Accounting data'!$J$2:$J$37000,{"1*","2*","3*","4*","5*"},'Accounting data'!$K$2:$K$37000,"69*"))</f>
        <v>0</v>
      </c>
      <c r="E35" s="54"/>
      <c r="F35" s="307" t="s">
        <v>28</v>
      </c>
      <c r="H35" s="299" t="s">
        <v>387</v>
      </c>
      <c r="I35" s="214"/>
      <c r="J35" s="156"/>
      <c r="K35" s="308"/>
    </row>
    <row r="36" spans="1:12" ht="12" customHeight="1" x14ac:dyDescent="0.25">
      <c r="A36" s="895" t="s">
        <v>388</v>
      </c>
      <c r="B36" s="895"/>
      <c r="C36" s="306"/>
      <c r="D36" s="554">
        <f>Calculations!E1335</f>
        <v>0</v>
      </c>
      <c r="E36" s="54"/>
      <c r="F36" s="291" t="s">
        <v>31</v>
      </c>
      <c r="H36" s="891" t="s">
        <v>1291</v>
      </c>
      <c r="I36" s="891"/>
      <c r="J36" s="892"/>
      <c r="K36" s="54"/>
      <c r="L36" s="302" t="s">
        <v>24</v>
      </c>
    </row>
    <row r="37" spans="1:12" ht="12" customHeight="1" x14ac:dyDescent="0.25">
      <c r="C37" s="302"/>
      <c r="E37" s="159"/>
      <c r="F37" s="307"/>
      <c r="H37" s="891" t="s">
        <v>1292</v>
      </c>
      <c r="I37" s="891"/>
      <c r="J37" s="892"/>
      <c r="K37" s="54"/>
      <c r="L37" s="302" t="s">
        <v>26</v>
      </c>
    </row>
    <row r="38" spans="1:12" ht="12" customHeight="1" x14ac:dyDescent="0.25">
      <c r="C38" s="302"/>
      <c r="E38" s="159"/>
      <c r="F38" s="307"/>
      <c r="H38" s="891" t="s">
        <v>1293</v>
      </c>
      <c r="I38" s="891"/>
      <c r="J38" s="892"/>
      <c r="K38" s="54"/>
      <c r="L38" s="302" t="s">
        <v>28</v>
      </c>
    </row>
    <row r="39" spans="1:12" ht="12" customHeight="1" x14ac:dyDescent="0.25">
      <c r="A39" s="299" t="s">
        <v>389</v>
      </c>
      <c r="B39" s="214"/>
      <c r="E39" s="309" t="s">
        <v>390</v>
      </c>
      <c r="F39"/>
      <c r="H39" s="891" t="s">
        <v>1294</v>
      </c>
      <c r="I39" s="891"/>
      <c r="J39" s="892"/>
      <c r="K39" s="554">
        <f>K36+K37-K38</f>
        <v>0</v>
      </c>
      <c r="L39" s="302" t="s">
        <v>31</v>
      </c>
    </row>
    <row r="40" spans="1:12" ht="12" customHeight="1" x14ac:dyDescent="0.25">
      <c r="A40" s="896" t="s">
        <v>391</v>
      </c>
      <c r="B40" s="808"/>
      <c r="E40" s="56">
        <v>0</v>
      </c>
      <c r="F40" s="220" t="s">
        <v>24</v>
      </c>
      <c r="K40" s="308"/>
    </row>
    <row r="41" spans="1:12" ht="12" customHeight="1" x14ac:dyDescent="0.25">
      <c r="A41" s="808" t="s">
        <v>392</v>
      </c>
      <c r="B41" s="808"/>
      <c r="C41" s="310"/>
      <c r="E41" s="56">
        <v>0</v>
      </c>
      <c r="F41" s="291" t="s">
        <v>26</v>
      </c>
      <c r="H41" s="891" t="s">
        <v>1295</v>
      </c>
      <c r="I41" s="891"/>
      <c r="J41" s="891"/>
      <c r="K41" s="56"/>
      <c r="L41" s="302" t="s">
        <v>33</v>
      </c>
    </row>
    <row r="42" spans="1:12" ht="12" customHeight="1" x14ac:dyDescent="0.25">
      <c r="A42" s="808" t="s">
        <v>393</v>
      </c>
      <c r="B42" s="808"/>
      <c r="C42" s="310"/>
      <c r="E42" s="56">
        <v>0</v>
      </c>
      <c r="F42" s="291" t="s">
        <v>28</v>
      </c>
      <c r="H42" s="891" t="s">
        <v>1296</v>
      </c>
      <c r="I42" s="891"/>
      <c r="J42" s="891"/>
      <c r="K42" s="56"/>
      <c r="L42" s="302" t="s">
        <v>35</v>
      </c>
    </row>
    <row r="43" spans="1:12" ht="12" customHeight="1" x14ac:dyDescent="0.25">
      <c r="A43" s="808" t="s">
        <v>394</v>
      </c>
      <c r="B43" s="808"/>
      <c r="C43" s="310"/>
      <c r="E43" s="56">
        <v>83524</v>
      </c>
      <c r="F43" s="291" t="s">
        <v>31</v>
      </c>
      <c r="K43" s="308"/>
    </row>
    <row r="44" spans="1:12" ht="12" customHeight="1" x14ac:dyDescent="0.25">
      <c r="A44" s="808" t="s">
        <v>395</v>
      </c>
      <c r="B44" s="808"/>
      <c r="C44" s="310"/>
      <c r="E44" s="56">
        <v>0</v>
      </c>
      <c r="F44" s="291" t="s">
        <v>33</v>
      </c>
      <c r="H44" s="302"/>
      <c r="I44" s="311"/>
      <c r="J44" s="311"/>
      <c r="K44" s="312"/>
      <c r="L44" s="311"/>
    </row>
    <row r="45" spans="1:12" ht="12" customHeight="1" x14ac:dyDescent="0.25">
      <c r="A45"/>
      <c r="B45"/>
      <c r="C45" s="302"/>
      <c r="E45"/>
      <c r="F45"/>
      <c r="H45" s="299" t="s">
        <v>396</v>
      </c>
      <c r="I45" s="214"/>
      <c r="J45" s="299"/>
      <c r="K45" s="308"/>
    </row>
    <row r="46" spans="1:12" ht="12.75" customHeight="1" x14ac:dyDescent="0.25">
      <c r="E46" s="313"/>
      <c r="H46" s="893" t="s">
        <v>397</v>
      </c>
      <c r="I46" s="893"/>
      <c r="J46" s="894"/>
      <c r="K46" s="54"/>
      <c r="L46" s="302" t="s">
        <v>24</v>
      </c>
    </row>
    <row r="47" spans="1:12" ht="12.75" customHeight="1" x14ac:dyDescent="0.25">
      <c r="A47" s="314" t="s">
        <v>398</v>
      </c>
      <c r="B47" s="315"/>
      <c r="C47" s="298"/>
      <c r="E47" s="316" t="s">
        <v>351</v>
      </c>
      <c r="H47" s="893" t="s">
        <v>399</v>
      </c>
      <c r="I47" s="893"/>
      <c r="J47" s="894"/>
      <c r="K47" s="54"/>
      <c r="L47" s="302" t="s">
        <v>26</v>
      </c>
    </row>
    <row r="48" spans="1:12" ht="12.75" customHeight="1" x14ac:dyDescent="0.25">
      <c r="A48" s="579" t="s">
        <v>400</v>
      </c>
      <c r="B48" s="579"/>
      <c r="C48" s="317"/>
      <c r="E48" s="554">
        <f>Calculations!E1082+Calculations!E1449</f>
        <v>0</v>
      </c>
      <c r="F48" s="307" t="s">
        <v>24</v>
      </c>
      <c r="G48" s="579"/>
      <c r="K48" s="308"/>
    </row>
    <row r="49" spans="1:26" ht="12.75" customHeight="1" x14ac:dyDescent="0.25">
      <c r="A49" s="893" t="s">
        <v>401</v>
      </c>
      <c r="B49" s="893"/>
      <c r="C49" s="317"/>
      <c r="E49" s="54">
        <v>0</v>
      </c>
      <c r="F49" s="307" t="s">
        <v>26</v>
      </c>
      <c r="K49" s="308"/>
    </row>
    <row r="50" spans="1:26" ht="12.75" customHeight="1" x14ac:dyDescent="0.25">
      <c r="A50" s="895" t="s">
        <v>402</v>
      </c>
      <c r="B50" s="895"/>
      <c r="E50" s="554">
        <f>Calculations!E1539-Calculations!E1449</f>
        <v>19899</v>
      </c>
      <c r="F50" s="318" t="s">
        <v>28</v>
      </c>
      <c r="H50" s="299" t="s">
        <v>403</v>
      </c>
      <c r="I50" s="299"/>
      <c r="K50" s="308"/>
    </row>
    <row r="51" spans="1:26" ht="12.75" customHeight="1" x14ac:dyDescent="0.25">
      <c r="E51" s="159"/>
      <c r="G51" s="319"/>
      <c r="H51" s="159" t="s">
        <v>404</v>
      </c>
      <c r="K51" s="56"/>
      <c r="L51" s="302" t="s">
        <v>24</v>
      </c>
      <c r="Z51" s="517"/>
    </row>
    <row r="52" spans="1:26" ht="12.75" customHeight="1" x14ac:dyDescent="0.25">
      <c r="A52" s="214" t="s">
        <v>405</v>
      </c>
      <c r="B52" s="320"/>
      <c r="C52" s="302"/>
      <c r="E52" s="159"/>
      <c r="G52" s="319"/>
      <c r="H52" s="159" t="s">
        <v>406</v>
      </c>
      <c r="K52" s="56"/>
      <c r="L52" s="302" t="s">
        <v>26</v>
      </c>
      <c r="Z52" s="517"/>
    </row>
    <row r="53" spans="1:26" ht="12.75" customHeight="1" x14ac:dyDescent="0.25">
      <c r="A53" s="156" t="s">
        <v>407</v>
      </c>
      <c r="C53" s="281"/>
      <c r="D53" s="321"/>
      <c r="E53" s="56">
        <v>0</v>
      </c>
      <c r="F53" s="322" t="s">
        <v>24</v>
      </c>
      <c r="G53" s="319"/>
      <c r="H53" s="159" t="s">
        <v>408</v>
      </c>
      <c r="K53" s="56"/>
      <c r="L53" s="281" t="s">
        <v>28</v>
      </c>
      <c r="Z53" s="517"/>
    </row>
    <row r="54" spans="1:26" ht="12.75" customHeight="1" x14ac:dyDescent="0.25">
      <c r="A54" s="156" t="s">
        <v>409</v>
      </c>
      <c r="C54" s="281"/>
      <c r="D54" s="321"/>
      <c r="E54" s="56">
        <v>0</v>
      </c>
      <c r="F54" s="322" t="s">
        <v>26</v>
      </c>
      <c r="G54" s="319"/>
      <c r="H54" s="159" t="s">
        <v>410</v>
      </c>
      <c r="K54" s="56"/>
      <c r="L54" s="281" t="s">
        <v>31</v>
      </c>
      <c r="Z54" s="517"/>
    </row>
    <row r="55" spans="1:26" ht="12.75" customHeight="1" x14ac:dyDescent="0.25">
      <c r="A55" s="156" t="s">
        <v>411</v>
      </c>
      <c r="C55" s="281"/>
      <c r="D55" s="321"/>
      <c r="E55" s="56">
        <v>0</v>
      </c>
      <c r="F55" s="322" t="s">
        <v>28</v>
      </c>
      <c r="G55" s="319"/>
      <c r="H55" s="579" t="s">
        <v>412</v>
      </c>
      <c r="I55" s="579"/>
      <c r="J55" s="579"/>
      <c r="K55" s="56"/>
      <c r="L55" s="281" t="s">
        <v>33</v>
      </c>
      <c r="Z55" s="517"/>
    </row>
    <row r="56" spans="1:26" ht="12.75" customHeight="1" x14ac:dyDescent="0.25">
      <c r="A56" s="156" t="s">
        <v>413</v>
      </c>
      <c r="C56" s="281"/>
      <c r="D56" s="321"/>
      <c r="E56" s="56">
        <v>0</v>
      </c>
      <c r="F56" s="322" t="s">
        <v>31</v>
      </c>
      <c r="H56" s="579" t="s">
        <v>414</v>
      </c>
      <c r="I56" s="579"/>
      <c r="J56" s="579"/>
      <c r="K56" s="56"/>
      <c r="L56" s="281" t="s">
        <v>35</v>
      </c>
      <c r="Z56" s="517"/>
    </row>
    <row r="57" spans="1:26" ht="12.75" customHeight="1" x14ac:dyDescent="0.25">
      <c r="C57" s="323"/>
      <c r="D57" s="321"/>
      <c r="F57" s="266"/>
      <c r="G57" s="319"/>
      <c r="K57" s="308"/>
      <c r="L57" s="281"/>
      <c r="Z57" s="517"/>
    </row>
    <row r="58" spans="1:26" ht="12.45" customHeight="1" x14ac:dyDescent="0.25">
      <c r="G58" s="319"/>
      <c r="H58" s="889" t="s">
        <v>1266</v>
      </c>
      <c r="I58" s="889"/>
      <c r="J58" s="889"/>
      <c r="K58" s="889"/>
      <c r="Z58" s="517"/>
    </row>
    <row r="59" spans="1:26" ht="41.55" customHeight="1" x14ac:dyDescent="0.25">
      <c r="G59" s="319"/>
      <c r="H59" s="890" t="s">
        <v>1261</v>
      </c>
      <c r="I59" s="890"/>
      <c r="J59" s="890"/>
      <c r="K59" s="666"/>
      <c r="L59" s="281" t="s">
        <v>24</v>
      </c>
      <c r="Z59" s="517"/>
    </row>
    <row r="60" spans="1:26" ht="41.55" customHeight="1" x14ac:dyDescent="0.25">
      <c r="G60" s="319"/>
      <c r="H60" s="890" t="s">
        <v>1262</v>
      </c>
      <c r="I60" s="890"/>
      <c r="J60" s="890"/>
      <c r="K60" s="666"/>
      <c r="L60" s="281" t="s">
        <v>26</v>
      </c>
      <c r="Z60" s="517"/>
    </row>
    <row r="61" spans="1:26" ht="27" customHeight="1" x14ac:dyDescent="0.25">
      <c r="G61" s="319"/>
      <c r="Z61" s="517"/>
    </row>
    <row r="62" spans="1:26" ht="12.75" customHeight="1" x14ac:dyDescent="0.25">
      <c r="H62" s="698" t="s">
        <v>1350</v>
      </c>
      <c r="Z62" s="517"/>
    </row>
    <row r="63" spans="1:26" ht="12.75" customHeight="1" x14ac:dyDescent="0.25">
      <c r="H63" s="888" t="s">
        <v>1267</v>
      </c>
      <c r="I63" s="888"/>
      <c r="J63" s="888"/>
      <c r="K63" s="667"/>
      <c r="L63" s="683" t="s">
        <v>24</v>
      </c>
      <c r="Z63" s="517"/>
    </row>
    <row r="64" spans="1:26" ht="12.75" customHeight="1" x14ac:dyDescent="0.25">
      <c r="Z64" s="517"/>
    </row>
  </sheetData>
  <sheetProtection sheet="1" formatCells="0" formatColumns="0" formatRows="0"/>
  <mergeCells count="29">
    <mergeCell ref="F1:G1"/>
    <mergeCell ref="C4:L4"/>
    <mergeCell ref="D6:K6"/>
    <mergeCell ref="H32:J32"/>
    <mergeCell ref="H30:J30"/>
    <mergeCell ref="H31:J31"/>
    <mergeCell ref="A50:B50"/>
    <mergeCell ref="A33:B33"/>
    <mergeCell ref="A44:B44"/>
    <mergeCell ref="A40:B40"/>
    <mergeCell ref="A43:B43"/>
    <mergeCell ref="A34:B34"/>
    <mergeCell ref="A49:B49"/>
    <mergeCell ref="A35:B35"/>
    <mergeCell ref="A36:B36"/>
    <mergeCell ref="A41:B41"/>
    <mergeCell ref="A42:B42"/>
    <mergeCell ref="H36:J36"/>
    <mergeCell ref="H42:J42"/>
    <mergeCell ref="H41:J41"/>
    <mergeCell ref="H38:J38"/>
    <mergeCell ref="H39:J39"/>
    <mergeCell ref="H63:J63"/>
    <mergeCell ref="H58:K58"/>
    <mergeCell ref="H59:J59"/>
    <mergeCell ref="H60:J60"/>
    <mergeCell ref="H37:J37"/>
    <mergeCell ref="H46:J46"/>
    <mergeCell ref="H47:J47"/>
  </mergeCells>
  <conditionalFormatting sqref="E33:E36 E49 E53:E56">
    <cfRule type="expression" dxfId="39" priority="8" stopIfTrue="1">
      <formula>$E33=""</formula>
    </cfRule>
  </conditionalFormatting>
  <conditionalFormatting sqref="E40:E44">
    <cfRule type="expression" dxfId="38" priority="4" stopIfTrue="1">
      <formula>$E40=""</formula>
    </cfRule>
  </conditionalFormatting>
  <conditionalFormatting sqref="K11 K13:K19 K21:K22 K24:K26 K30:K32 K36:K38 K41:K42 K46:K47 K51:K56 K59:K60">
    <cfRule type="expression" dxfId="37" priority="7" stopIfTrue="1">
      <formula>$K11=""</formula>
    </cfRule>
  </conditionalFormatting>
  <conditionalFormatting sqref="K63">
    <cfRule type="expression" dxfId="36" priority="1" stopIfTrue="1">
      <formula>$K63=""</formula>
    </cfRule>
  </conditionalFormatting>
  <dataValidations count="2">
    <dataValidation allowBlank="1" showInputMessage="1" showErrorMessage="1" prompt="This amount has been adjusted to include federal food service revenue amounts included on the FS AFR." sqref="G24" xr:uid="{00000000-0002-0000-0A00-000000000000}"/>
    <dataValidation allowBlank="1" showInputMessage="1" showErrorMessage="1" prompt="This amount has been adjusted to exclude federal food service revenue amounts included on the FS AFR. If the amount is negative, refer to the General instructions for Page 10." sqref="G25" xr:uid="{00000000-0002-0000-0A00-000001000000}"/>
  </dataValidations>
  <hyperlinks>
    <hyperlink ref="E31:E32" location="PropertyDisbursements" display="Property " xr:uid="{00000000-0004-0000-0A00-000000000000}"/>
    <hyperlink ref="A39:B39" location="PropertyDisbursementsByType" display="Property Disbursements by Type" xr:uid="{00000000-0004-0000-0A00-000001000000}"/>
    <hyperlink ref="A47" location="DebtService" display="Debt Service" xr:uid="{00000000-0004-0000-0A00-000002000000}"/>
    <hyperlink ref="H35" location="DebtService" display="Debt Service" xr:uid="{00000000-0004-0000-0A00-000003000000}"/>
    <hyperlink ref="H45" location="DebtService" display="Debt Service" xr:uid="{00000000-0004-0000-0A00-000004000000}"/>
    <hyperlink ref="H35:I35" location="LongandShortTermDebt" display="Long-term and Short-term Debt" xr:uid="{00000000-0004-0000-0A00-000005000000}"/>
    <hyperlink ref="H45:J45" location="UtilitiesandEnergyServices" display="Utilities and Energy Detail (Function 2600)" xr:uid="{00000000-0004-0000-0A00-000006000000}"/>
    <hyperlink ref="H50" location="TechnologyDetail" display="Technology" xr:uid="{00000000-0004-0000-0A00-000007000000}"/>
    <hyperlink ref="H29:J29" location="CashandInvestments" display="Cash and Investments held at June 30, 2017" xr:uid="{00000000-0004-0000-0A00-000008000000}"/>
    <hyperlink ref="K9:K10" location="PropertyDisbursements" display="Property" xr:uid="{00000000-0004-0000-0A00-000009000000}"/>
    <hyperlink ref="A52:B52" location="Revenue_From_Selected_Federal_Sources" display="Revenue from selected federal sources " xr:uid="{00000000-0004-0000-0A00-00000A000000}"/>
    <hyperlink ref="H58" location="SupportServicesInstructionDetail" display="Support services-instruction detail" xr:uid="{00000000-0004-0000-0A00-00000B000000}"/>
    <hyperlink ref="B5" location="GeneralPage10" display="Instructions" xr:uid="{E1591FB8-69FB-41E2-828E-BC739B4F460B}"/>
  </hyperlinks>
  <pageMargins left="0.7" right="0.7" top="0.75" bottom="0.75" header="0.3" footer="0.3"/>
  <pageSetup scale="61" orientation="landscape" r:id="rId1"/>
  <headerFooter>
    <oddFooter>&amp;LRev. 8/25 Arizona Department of Education and Auditor General&amp;CFY 2025</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F9292-990F-4161-9B89-C3CD151F6C38}">
  <sheetPr>
    <pageSetUpPr fitToPage="1"/>
  </sheetPr>
  <dimension ref="A1:AV49"/>
  <sheetViews>
    <sheetView showGridLines="0" topLeftCell="A12" workbookViewId="0"/>
  </sheetViews>
  <sheetFormatPr defaultColWidth="9" defaultRowHeight="13.2" x14ac:dyDescent="0.25"/>
  <cols>
    <col min="1" max="1" width="48.33203125" style="325" customWidth="1"/>
    <col min="2" max="2" width="2.77734375" style="325" customWidth="1"/>
    <col min="3" max="3" width="35.33203125" style="325" customWidth="1"/>
    <col min="4" max="4" width="13.77734375" style="325" bestFit="1" customWidth="1"/>
    <col min="5" max="5" width="15.33203125" style="325" customWidth="1"/>
    <col min="6" max="6" width="14.21875" style="325" customWidth="1"/>
    <col min="7" max="7" width="15.21875" style="325" customWidth="1"/>
    <col min="8" max="8" width="13.33203125" style="326" customWidth="1"/>
    <col min="9" max="9" width="17.33203125" style="326" customWidth="1"/>
    <col min="10" max="10" width="15.21875" style="326" customWidth="1"/>
    <col min="11" max="11" width="20.33203125" style="326" customWidth="1"/>
    <col min="12" max="12" width="16" style="325" customWidth="1"/>
    <col min="13" max="13" width="16.77734375" style="325" customWidth="1"/>
    <col min="14" max="14" width="16" style="325" customWidth="1"/>
    <col min="15" max="15" width="14.77734375" style="325" customWidth="1"/>
    <col min="16" max="16" width="9.44140625" style="325" customWidth="1"/>
    <col min="17" max="17" width="14.77734375" style="325" customWidth="1"/>
    <col min="18" max="21" width="9" style="331" customWidth="1"/>
    <col min="22" max="26" width="9" style="332" customWidth="1"/>
    <col min="27" max="27" width="8.21875" style="332" bestFit="1" customWidth="1"/>
    <col min="28" max="29" width="9" style="332" customWidth="1"/>
    <col min="30" max="34" width="10.33203125" style="333" customWidth="1"/>
    <col min="35" max="35" width="9" style="333" customWidth="1"/>
    <col min="36" max="48" width="9" style="331" customWidth="1"/>
    <col min="49" max="256" width="9" style="325" customWidth="1"/>
    <col min="257" max="257" width="60.33203125" style="325" customWidth="1"/>
    <col min="258" max="258" width="2.77734375" style="325" customWidth="1"/>
    <col min="259" max="259" width="14.77734375" style="325" customWidth="1"/>
    <col min="260" max="260" width="13.77734375" style="325" bestFit="1" customWidth="1"/>
    <col min="261" max="261" width="15.33203125" style="325" customWidth="1"/>
    <col min="262" max="262" width="14.21875" style="325" customWidth="1"/>
    <col min="263" max="263" width="15.21875" style="325" customWidth="1"/>
    <col min="264" max="264" width="13.33203125" style="325" customWidth="1"/>
    <col min="265" max="265" width="17.33203125" style="325" customWidth="1"/>
    <col min="266" max="266" width="15.21875" style="325" customWidth="1"/>
    <col min="267" max="267" width="19.6640625" style="325" customWidth="1"/>
    <col min="268" max="270" width="16" style="325" customWidth="1"/>
    <col min="271" max="271" width="14.77734375" style="325" customWidth="1"/>
    <col min="272" max="272" width="17.33203125" style="325" customWidth="1"/>
    <col min="273" max="273" width="14.77734375" style="325" customWidth="1"/>
    <col min="274" max="282" width="9" style="325" customWidth="1"/>
    <col min="283" max="283" width="7.21875" style="325" bestFit="1" customWidth="1"/>
    <col min="284" max="285" width="9" style="325" customWidth="1"/>
    <col min="286" max="290" width="10.33203125" style="325" customWidth="1"/>
    <col min="291" max="512" width="9" style="325" customWidth="1"/>
    <col min="513" max="513" width="60.33203125" style="325" customWidth="1"/>
    <col min="514" max="514" width="2.77734375" style="325" customWidth="1"/>
    <col min="515" max="515" width="14.77734375" style="325" customWidth="1"/>
    <col min="516" max="516" width="13.77734375" style="325" bestFit="1" customWidth="1"/>
    <col min="517" max="517" width="15.33203125" style="325" customWidth="1"/>
    <col min="518" max="518" width="14.21875" style="325" customWidth="1"/>
    <col min="519" max="519" width="15.21875" style="325" customWidth="1"/>
    <col min="520" max="520" width="13.33203125" style="325" customWidth="1"/>
    <col min="521" max="521" width="17.33203125" style="325" customWidth="1"/>
    <col min="522" max="522" width="15.21875" style="325" customWidth="1"/>
    <col min="523" max="523" width="19.6640625" style="325" customWidth="1"/>
    <col min="524" max="526" width="16" style="325" customWidth="1"/>
    <col min="527" max="527" width="14.77734375" style="325" customWidth="1"/>
    <col min="528" max="528" width="17.33203125" style="325" customWidth="1"/>
    <col min="529" max="529" width="14.77734375" style="325" customWidth="1"/>
    <col min="530" max="538" width="9" style="325" customWidth="1"/>
    <col min="539" max="539" width="7.21875" style="325" bestFit="1" customWidth="1"/>
    <col min="540" max="541" width="9" style="325" customWidth="1"/>
    <col min="542" max="546" width="10.33203125" style="325" customWidth="1"/>
    <col min="547" max="768" width="9" style="325" customWidth="1"/>
    <col min="769" max="769" width="60.33203125" style="325" customWidth="1"/>
    <col min="770" max="770" width="2.77734375" style="325" customWidth="1"/>
    <col min="771" max="771" width="14.77734375" style="325" customWidth="1"/>
    <col min="772" max="772" width="13.77734375" style="325" bestFit="1" customWidth="1"/>
    <col min="773" max="773" width="15.33203125" style="325" customWidth="1"/>
    <col min="774" max="774" width="14.21875" style="325" customWidth="1"/>
    <col min="775" max="775" width="15.21875" style="325" customWidth="1"/>
    <col min="776" max="776" width="13.33203125" style="325" customWidth="1"/>
    <col min="777" max="777" width="17.33203125" style="325" customWidth="1"/>
    <col min="778" max="778" width="15.21875" style="325" customWidth="1"/>
    <col min="779" max="779" width="19.6640625" style="325" customWidth="1"/>
    <col min="780" max="782" width="16" style="325" customWidth="1"/>
    <col min="783" max="783" width="14.77734375" style="325" customWidth="1"/>
    <col min="784" max="784" width="17.33203125" style="325" customWidth="1"/>
    <col min="785" max="785" width="14.77734375" style="325" customWidth="1"/>
    <col min="786" max="794" width="9" style="325" customWidth="1"/>
    <col min="795" max="795" width="7.21875" style="325" bestFit="1" customWidth="1"/>
    <col min="796" max="797" width="9" style="325" customWidth="1"/>
    <col min="798" max="802" width="10.33203125" style="325" customWidth="1"/>
    <col min="803" max="1024" width="9" style="325" customWidth="1"/>
    <col min="1025" max="1025" width="60.33203125" style="325" customWidth="1"/>
    <col min="1026" max="1026" width="2.77734375" style="325" customWidth="1"/>
    <col min="1027" max="1027" width="14.77734375" style="325" customWidth="1"/>
    <col min="1028" max="1028" width="13.77734375" style="325" bestFit="1" customWidth="1"/>
    <col min="1029" max="1029" width="15.33203125" style="325" customWidth="1"/>
    <col min="1030" max="1030" width="14.21875" style="325" customWidth="1"/>
    <col min="1031" max="1031" width="15.21875" style="325" customWidth="1"/>
    <col min="1032" max="1032" width="13.33203125" style="325" customWidth="1"/>
    <col min="1033" max="1033" width="17.33203125" style="325" customWidth="1"/>
    <col min="1034" max="1034" width="15.21875" style="325" customWidth="1"/>
    <col min="1035" max="1035" width="19.6640625" style="325" customWidth="1"/>
    <col min="1036" max="1038" width="16" style="325" customWidth="1"/>
    <col min="1039" max="1039" width="14.77734375" style="325" customWidth="1"/>
    <col min="1040" max="1040" width="17.33203125" style="325" customWidth="1"/>
    <col min="1041" max="1041" width="14.77734375" style="325" customWidth="1"/>
    <col min="1042" max="1050" width="9" style="325" customWidth="1"/>
    <col min="1051" max="1051" width="7.21875" style="325" bestFit="1" customWidth="1"/>
    <col min="1052" max="1053" width="9" style="325" customWidth="1"/>
    <col min="1054" max="1058" width="10.33203125" style="325" customWidth="1"/>
    <col min="1059" max="1280" width="9" style="325" customWidth="1"/>
    <col min="1281" max="1281" width="60.33203125" style="325" customWidth="1"/>
    <col min="1282" max="1282" width="2.77734375" style="325" customWidth="1"/>
    <col min="1283" max="1283" width="14.77734375" style="325" customWidth="1"/>
    <col min="1284" max="1284" width="13.77734375" style="325" bestFit="1" customWidth="1"/>
    <col min="1285" max="1285" width="15.33203125" style="325" customWidth="1"/>
    <col min="1286" max="1286" width="14.21875" style="325" customWidth="1"/>
    <col min="1287" max="1287" width="15.21875" style="325" customWidth="1"/>
    <col min="1288" max="1288" width="13.33203125" style="325" customWidth="1"/>
    <col min="1289" max="1289" width="17.33203125" style="325" customWidth="1"/>
    <col min="1290" max="1290" width="15.21875" style="325" customWidth="1"/>
    <col min="1291" max="1291" width="19.6640625" style="325" customWidth="1"/>
    <col min="1292" max="1294" width="16" style="325" customWidth="1"/>
    <col min="1295" max="1295" width="14.77734375" style="325" customWidth="1"/>
    <col min="1296" max="1296" width="17.33203125" style="325" customWidth="1"/>
    <col min="1297" max="1297" width="14.77734375" style="325" customWidth="1"/>
    <col min="1298" max="1306" width="9" style="325" customWidth="1"/>
    <col min="1307" max="1307" width="7.21875" style="325" bestFit="1" customWidth="1"/>
    <col min="1308" max="1309" width="9" style="325" customWidth="1"/>
    <col min="1310" max="1314" width="10.33203125" style="325" customWidth="1"/>
    <col min="1315" max="1536" width="9" style="325" customWidth="1"/>
    <col min="1537" max="1537" width="60.33203125" style="325" customWidth="1"/>
    <col min="1538" max="1538" width="2.77734375" style="325" customWidth="1"/>
    <col min="1539" max="1539" width="14.77734375" style="325" customWidth="1"/>
    <col min="1540" max="1540" width="13.77734375" style="325" bestFit="1" customWidth="1"/>
    <col min="1541" max="1541" width="15.33203125" style="325" customWidth="1"/>
    <col min="1542" max="1542" width="14.21875" style="325" customWidth="1"/>
    <col min="1543" max="1543" width="15.21875" style="325" customWidth="1"/>
    <col min="1544" max="1544" width="13.33203125" style="325" customWidth="1"/>
    <col min="1545" max="1545" width="17.33203125" style="325" customWidth="1"/>
    <col min="1546" max="1546" width="15.21875" style="325" customWidth="1"/>
    <col min="1547" max="1547" width="19.6640625" style="325" customWidth="1"/>
    <col min="1548" max="1550" width="16" style="325" customWidth="1"/>
    <col min="1551" max="1551" width="14.77734375" style="325" customWidth="1"/>
    <col min="1552" max="1552" width="17.33203125" style="325" customWidth="1"/>
    <col min="1553" max="1553" width="14.77734375" style="325" customWidth="1"/>
    <col min="1554" max="1562" width="9" style="325" customWidth="1"/>
    <col min="1563" max="1563" width="7.21875" style="325" bestFit="1" customWidth="1"/>
    <col min="1564" max="1565" width="9" style="325" customWidth="1"/>
    <col min="1566" max="1570" width="10.33203125" style="325" customWidth="1"/>
    <col min="1571" max="1792" width="9" style="325" customWidth="1"/>
    <col min="1793" max="1793" width="60.33203125" style="325" customWidth="1"/>
    <col min="1794" max="1794" width="2.77734375" style="325" customWidth="1"/>
    <col min="1795" max="1795" width="14.77734375" style="325" customWidth="1"/>
    <col min="1796" max="1796" width="13.77734375" style="325" bestFit="1" customWidth="1"/>
    <col min="1797" max="1797" width="15.33203125" style="325" customWidth="1"/>
    <col min="1798" max="1798" width="14.21875" style="325" customWidth="1"/>
    <col min="1799" max="1799" width="15.21875" style="325" customWidth="1"/>
    <col min="1800" max="1800" width="13.33203125" style="325" customWidth="1"/>
    <col min="1801" max="1801" width="17.33203125" style="325" customWidth="1"/>
    <col min="1802" max="1802" width="15.21875" style="325" customWidth="1"/>
    <col min="1803" max="1803" width="19.6640625" style="325" customWidth="1"/>
    <col min="1804" max="1806" width="16" style="325" customWidth="1"/>
    <col min="1807" max="1807" width="14.77734375" style="325" customWidth="1"/>
    <col min="1808" max="1808" width="17.33203125" style="325" customWidth="1"/>
    <col min="1809" max="1809" width="14.77734375" style="325" customWidth="1"/>
    <col min="1810" max="1818" width="9" style="325" customWidth="1"/>
    <col min="1819" max="1819" width="7.21875" style="325" bestFit="1" customWidth="1"/>
    <col min="1820" max="1821" width="9" style="325" customWidth="1"/>
    <col min="1822" max="1826" width="10.33203125" style="325" customWidth="1"/>
    <col min="1827" max="2048" width="9" style="325" customWidth="1"/>
    <col min="2049" max="2049" width="60.33203125" style="325" customWidth="1"/>
    <col min="2050" max="2050" width="2.77734375" style="325" customWidth="1"/>
    <col min="2051" max="2051" width="14.77734375" style="325" customWidth="1"/>
    <col min="2052" max="2052" width="13.77734375" style="325" bestFit="1" customWidth="1"/>
    <col min="2053" max="2053" width="15.33203125" style="325" customWidth="1"/>
    <col min="2054" max="2054" width="14.21875" style="325" customWidth="1"/>
    <col min="2055" max="2055" width="15.21875" style="325" customWidth="1"/>
    <col min="2056" max="2056" width="13.33203125" style="325" customWidth="1"/>
    <col min="2057" max="2057" width="17.33203125" style="325" customWidth="1"/>
    <col min="2058" max="2058" width="15.21875" style="325" customWidth="1"/>
    <col min="2059" max="2059" width="19.6640625" style="325" customWidth="1"/>
    <col min="2060" max="2062" width="16" style="325" customWidth="1"/>
    <col min="2063" max="2063" width="14.77734375" style="325" customWidth="1"/>
    <col min="2064" max="2064" width="17.33203125" style="325" customWidth="1"/>
    <col min="2065" max="2065" width="14.77734375" style="325" customWidth="1"/>
    <col min="2066" max="2074" width="9" style="325" customWidth="1"/>
    <col min="2075" max="2075" width="7.21875" style="325" bestFit="1" customWidth="1"/>
    <col min="2076" max="2077" width="9" style="325" customWidth="1"/>
    <col min="2078" max="2082" width="10.33203125" style="325" customWidth="1"/>
    <col min="2083" max="2304" width="9" style="325" customWidth="1"/>
    <col min="2305" max="2305" width="60.33203125" style="325" customWidth="1"/>
    <col min="2306" max="2306" width="2.77734375" style="325" customWidth="1"/>
    <col min="2307" max="2307" width="14.77734375" style="325" customWidth="1"/>
    <col min="2308" max="2308" width="13.77734375" style="325" bestFit="1" customWidth="1"/>
    <col min="2309" max="2309" width="15.33203125" style="325" customWidth="1"/>
    <col min="2310" max="2310" width="14.21875" style="325" customWidth="1"/>
    <col min="2311" max="2311" width="15.21875" style="325" customWidth="1"/>
    <col min="2312" max="2312" width="13.33203125" style="325" customWidth="1"/>
    <col min="2313" max="2313" width="17.33203125" style="325" customWidth="1"/>
    <col min="2314" max="2314" width="15.21875" style="325" customWidth="1"/>
    <col min="2315" max="2315" width="19.6640625" style="325" customWidth="1"/>
    <col min="2316" max="2318" width="16" style="325" customWidth="1"/>
    <col min="2319" max="2319" width="14.77734375" style="325" customWidth="1"/>
    <col min="2320" max="2320" width="17.33203125" style="325" customWidth="1"/>
    <col min="2321" max="2321" width="14.77734375" style="325" customWidth="1"/>
    <col min="2322" max="2330" width="9" style="325" customWidth="1"/>
    <col min="2331" max="2331" width="7.21875" style="325" bestFit="1" customWidth="1"/>
    <col min="2332" max="2333" width="9" style="325" customWidth="1"/>
    <col min="2334" max="2338" width="10.33203125" style="325" customWidth="1"/>
    <col min="2339" max="2560" width="9" style="325" customWidth="1"/>
    <col min="2561" max="2561" width="60.33203125" style="325" customWidth="1"/>
    <col min="2562" max="2562" width="2.77734375" style="325" customWidth="1"/>
    <col min="2563" max="2563" width="14.77734375" style="325" customWidth="1"/>
    <col min="2564" max="2564" width="13.77734375" style="325" bestFit="1" customWidth="1"/>
    <col min="2565" max="2565" width="15.33203125" style="325" customWidth="1"/>
    <col min="2566" max="2566" width="14.21875" style="325" customWidth="1"/>
    <col min="2567" max="2567" width="15.21875" style="325" customWidth="1"/>
    <col min="2568" max="2568" width="13.33203125" style="325" customWidth="1"/>
    <col min="2569" max="2569" width="17.33203125" style="325" customWidth="1"/>
    <col min="2570" max="2570" width="15.21875" style="325" customWidth="1"/>
    <col min="2571" max="2571" width="19.6640625" style="325" customWidth="1"/>
    <col min="2572" max="2574" width="16" style="325" customWidth="1"/>
    <col min="2575" max="2575" width="14.77734375" style="325" customWidth="1"/>
    <col min="2576" max="2576" width="17.33203125" style="325" customWidth="1"/>
    <col min="2577" max="2577" width="14.77734375" style="325" customWidth="1"/>
    <col min="2578" max="2586" width="9" style="325" customWidth="1"/>
    <col min="2587" max="2587" width="7.21875" style="325" bestFit="1" customWidth="1"/>
    <col min="2588" max="2589" width="9" style="325" customWidth="1"/>
    <col min="2590" max="2594" width="10.33203125" style="325" customWidth="1"/>
    <col min="2595" max="2816" width="9" style="325" customWidth="1"/>
    <col min="2817" max="2817" width="60.33203125" style="325" customWidth="1"/>
    <col min="2818" max="2818" width="2.77734375" style="325" customWidth="1"/>
    <col min="2819" max="2819" width="14.77734375" style="325" customWidth="1"/>
    <col min="2820" max="2820" width="13.77734375" style="325" bestFit="1" customWidth="1"/>
    <col min="2821" max="2821" width="15.33203125" style="325" customWidth="1"/>
    <col min="2822" max="2822" width="14.21875" style="325" customWidth="1"/>
    <col min="2823" max="2823" width="15.21875" style="325" customWidth="1"/>
    <col min="2824" max="2824" width="13.33203125" style="325" customWidth="1"/>
    <col min="2825" max="2825" width="17.33203125" style="325" customWidth="1"/>
    <col min="2826" max="2826" width="15.21875" style="325" customWidth="1"/>
    <col min="2827" max="2827" width="19.6640625" style="325" customWidth="1"/>
    <col min="2828" max="2830" width="16" style="325" customWidth="1"/>
    <col min="2831" max="2831" width="14.77734375" style="325" customWidth="1"/>
    <col min="2832" max="2832" width="17.33203125" style="325" customWidth="1"/>
    <col min="2833" max="2833" width="14.77734375" style="325" customWidth="1"/>
    <col min="2834" max="2842" width="9" style="325" customWidth="1"/>
    <col min="2843" max="2843" width="7.21875" style="325" bestFit="1" customWidth="1"/>
    <col min="2844" max="2845" width="9" style="325" customWidth="1"/>
    <col min="2846" max="2850" width="10.33203125" style="325" customWidth="1"/>
    <col min="2851" max="3072" width="9" style="325" customWidth="1"/>
    <col min="3073" max="3073" width="60.33203125" style="325" customWidth="1"/>
    <col min="3074" max="3074" width="2.77734375" style="325" customWidth="1"/>
    <col min="3075" max="3075" width="14.77734375" style="325" customWidth="1"/>
    <col min="3076" max="3076" width="13.77734375" style="325" bestFit="1" customWidth="1"/>
    <col min="3077" max="3077" width="15.33203125" style="325" customWidth="1"/>
    <col min="3078" max="3078" width="14.21875" style="325" customWidth="1"/>
    <col min="3079" max="3079" width="15.21875" style="325" customWidth="1"/>
    <col min="3080" max="3080" width="13.33203125" style="325" customWidth="1"/>
    <col min="3081" max="3081" width="17.33203125" style="325" customWidth="1"/>
    <col min="3082" max="3082" width="15.21875" style="325" customWidth="1"/>
    <col min="3083" max="3083" width="19.6640625" style="325" customWidth="1"/>
    <col min="3084" max="3086" width="16" style="325" customWidth="1"/>
    <col min="3087" max="3087" width="14.77734375" style="325" customWidth="1"/>
    <col min="3088" max="3088" width="17.33203125" style="325" customWidth="1"/>
    <col min="3089" max="3089" width="14.77734375" style="325" customWidth="1"/>
    <col min="3090" max="3098" width="9" style="325" customWidth="1"/>
    <col min="3099" max="3099" width="7.21875" style="325" bestFit="1" customWidth="1"/>
    <col min="3100" max="3101" width="9" style="325" customWidth="1"/>
    <col min="3102" max="3106" width="10.33203125" style="325" customWidth="1"/>
    <col min="3107" max="3328" width="9" style="325" customWidth="1"/>
    <col min="3329" max="3329" width="60.33203125" style="325" customWidth="1"/>
    <col min="3330" max="3330" width="2.77734375" style="325" customWidth="1"/>
    <col min="3331" max="3331" width="14.77734375" style="325" customWidth="1"/>
    <col min="3332" max="3332" width="13.77734375" style="325" bestFit="1" customWidth="1"/>
    <col min="3333" max="3333" width="15.33203125" style="325" customWidth="1"/>
    <col min="3334" max="3334" width="14.21875" style="325" customWidth="1"/>
    <col min="3335" max="3335" width="15.21875" style="325" customWidth="1"/>
    <col min="3336" max="3336" width="13.33203125" style="325" customWidth="1"/>
    <col min="3337" max="3337" width="17.33203125" style="325" customWidth="1"/>
    <col min="3338" max="3338" width="15.21875" style="325" customWidth="1"/>
    <col min="3339" max="3339" width="19.6640625" style="325" customWidth="1"/>
    <col min="3340" max="3342" width="16" style="325" customWidth="1"/>
    <col min="3343" max="3343" width="14.77734375" style="325" customWidth="1"/>
    <col min="3344" max="3344" width="17.33203125" style="325" customWidth="1"/>
    <col min="3345" max="3345" width="14.77734375" style="325" customWidth="1"/>
    <col min="3346" max="3354" width="9" style="325" customWidth="1"/>
    <col min="3355" max="3355" width="7.21875" style="325" bestFit="1" customWidth="1"/>
    <col min="3356" max="3357" width="9" style="325" customWidth="1"/>
    <col min="3358" max="3362" width="10.33203125" style="325" customWidth="1"/>
    <col min="3363" max="3584" width="9" style="325" customWidth="1"/>
    <col min="3585" max="3585" width="60.33203125" style="325" customWidth="1"/>
    <col min="3586" max="3586" width="2.77734375" style="325" customWidth="1"/>
    <col min="3587" max="3587" width="14.77734375" style="325" customWidth="1"/>
    <col min="3588" max="3588" width="13.77734375" style="325" bestFit="1" customWidth="1"/>
    <col min="3589" max="3589" width="15.33203125" style="325" customWidth="1"/>
    <col min="3590" max="3590" width="14.21875" style="325" customWidth="1"/>
    <col min="3591" max="3591" width="15.21875" style="325" customWidth="1"/>
    <col min="3592" max="3592" width="13.33203125" style="325" customWidth="1"/>
    <col min="3593" max="3593" width="17.33203125" style="325" customWidth="1"/>
    <col min="3594" max="3594" width="15.21875" style="325" customWidth="1"/>
    <col min="3595" max="3595" width="19.6640625" style="325" customWidth="1"/>
    <col min="3596" max="3598" width="16" style="325" customWidth="1"/>
    <col min="3599" max="3599" width="14.77734375" style="325" customWidth="1"/>
    <col min="3600" max="3600" width="17.33203125" style="325" customWidth="1"/>
    <col min="3601" max="3601" width="14.77734375" style="325" customWidth="1"/>
    <col min="3602" max="3610" width="9" style="325" customWidth="1"/>
    <col min="3611" max="3611" width="7.21875" style="325" bestFit="1" customWidth="1"/>
    <col min="3612" max="3613" width="9" style="325" customWidth="1"/>
    <col min="3614" max="3618" width="10.33203125" style="325" customWidth="1"/>
    <col min="3619" max="3840" width="9" style="325" customWidth="1"/>
    <col min="3841" max="3841" width="60.33203125" style="325" customWidth="1"/>
    <col min="3842" max="3842" width="2.77734375" style="325" customWidth="1"/>
    <col min="3843" max="3843" width="14.77734375" style="325" customWidth="1"/>
    <col min="3844" max="3844" width="13.77734375" style="325" bestFit="1" customWidth="1"/>
    <col min="3845" max="3845" width="15.33203125" style="325" customWidth="1"/>
    <col min="3846" max="3846" width="14.21875" style="325" customWidth="1"/>
    <col min="3847" max="3847" width="15.21875" style="325" customWidth="1"/>
    <col min="3848" max="3848" width="13.33203125" style="325" customWidth="1"/>
    <col min="3849" max="3849" width="17.33203125" style="325" customWidth="1"/>
    <col min="3850" max="3850" width="15.21875" style="325" customWidth="1"/>
    <col min="3851" max="3851" width="19.6640625" style="325" customWidth="1"/>
    <col min="3852" max="3854" width="16" style="325" customWidth="1"/>
    <col min="3855" max="3855" width="14.77734375" style="325" customWidth="1"/>
    <col min="3856" max="3856" width="17.33203125" style="325" customWidth="1"/>
    <col min="3857" max="3857" width="14.77734375" style="325" customWidth="1"/>
    <col min="3858" max="3866" width="9" style="325" customWidth="1"/>
    <col min="3867" max="3867" width="7.21875" style="325" bestFit="1" customWidth="1"/>
    <col min="3868" max="3869" width="9" style="325" customWidth="1"/>
    <col min="3870" max="3874" width="10.33203125" style="325" customWidth="1"/>
    <col min="3875" max="4096" width="9" style="325" customWidth="1"/>
    <col min="4097" max="4097" width="60.33203125" style="325" customWidth="1"/>
    <col min="4098" max="4098" width="2.77734375" style="325" customWidth="1"/>
    <col min="4099" max="4099" width="14.77734375" style="325" customWidth="1"/>
    <col min="4100" max="4100" width="13.77734375" style="325" bestFit="1" customWidth="1"/>
    <col min="4101" max="4101" width="15.33203125" style="325" customWidth="1"/>
    <col min="4102" max="4102" width="14.21875" style="325" customWidth="1"/>
    <col min="4103" max="4103" width="15.21875" style="325" customWidth="1"/>
    <col min="4104" max="4104" width="13.33203125" style="325" customWidth="1"/>
    <col min="4105" max="4105" width="17.33203125" style="325" customWidth="1"/>
    <col min="4106" max="4106" width="15.21875" style="325" customWidth="1"/>
    <col min="4107" max="4107" width="19.6640625" style="325" customWidth="1"/>
    <col min="4108" max="4110" width="16" style="325" customWidth="1"/>
    <col min="4111" max="4111" width="14.77734375" style="325" customWidth="1"/>
    <col min="4112" max="4112" width="17.33203125" style="325" customWidth="1"/>
    <col min="4113" max="4113" width="14.77734375" style="325" customWidth="1"/>
    <col min="4114" max="4122" width="9" style="325" customWidth="1"/>
    <col min="4123" max="4123" width="7.21875" style="325" bestFit="1" customWidth="1"/>
    <col min="4124" max="4125" width="9" style="325" customWidth="1"/>
    <col min="4126" max="4130" width="10.33203125" style="325" customWidth="1"/>
    <col min="4131" max="4352" width="9" style="325" customWidth="1"/>
    <col min="4353" max="4353" width="60.33203125" style="325" customWidth="1"/>
    <col min="4354" max="4354" width="2.77734375" style="325" customWidth="1"/>
    <col min="4355" max="4355" width="14.77734375" style="325" customWidth="1"/>
    <col min="4356" max="4356" width="13.77734375" style="325" bestFit="1" customWidth="1"/>
    <col min="4357" max="4357" width="15.33203125" style="325" customWidth="1"/>
    <col min="4358" max="4358" width="14.21875" style="325" customWidth="1"/>
    <col min="4359" max="4359" width="15.21875" style="325" customWidth="1"/>
    <col min="4360" max="4360" width="13.33203125" style="325" customWidth="1"/>
    <col min="4361" max="4361" width="17.33203125" style="325" customWidth="1"/>
    <col min="4362" max="4362" width="15.21875" style="325" customWidth="1"/>
    <col min="4363" max="4363" width="19.6640625" style="325" customWidth="1"/>
    <col min="4364" max="4366" width="16" style="325" customWidth="1"/>
    <col min="4367" max="4367" width="14.77734375" style="325" customWidth="1"/>
    <col min="4368" max="4368" width="17.33203125" style="325" customWidth="1"/>
    <col min="4369" max="4369" width="14.77734375" style="325" customWidth="1"/>
    <col min="4370" max="4378" width="9" style="325" customWidth="1"/>
    <col min="4379" max="4379" width="7.21875" style="325" bestFit="1" customWidth="1"/>
    <col min="4380" max="4381" width="9" style="325" customWidth="1"/>
    <col min="4382" max="4386" width="10.33203125" style="325" customWidth="1"/>
    <col min="4387" max="4608" width="9" style="325" customWidth="1"/>
    <col min="4609" max="4609" width="60.33203125" style="325" customWidth="1"/>
    <col min="4610" max="4610" width="2.77734375" style="325" customWidth="1"/>
    <col min="4611" max="4611" width="14.77734375" style="325" customWidth="1"/>
    <col min="4612" max="4612" width="13.77734375" style="325" bestFit="1" customWidth="1"/>
    <col min="4613" max="4613" width="15.33203125" style="325" customWidth="1"/>
    <col min="4614" max="4614" width="14.21875" style="325" customWidth="1"/>
    <col min="4615" max="4615" width="15.21875" style="325" customWidth="1"/>
    <col min="4616" max="4616" width="13.33203125" style="325" customWidth="1"/>
    <col min="4617" max="4617" width="17.33203125" style="325" customWidth="1"/>
    <col min="4618" max="4618" width="15.21875" style="325" customWidth="1"/>
    <col min="4619" max="4619" width="19.6640625" style="325" customWidth="1"/>
    <col min="4620" max="4622" width="16" style="325" customWidth="1"/>
    <col min="4623" max="4623" width="14.77734375" style="325" customWidth="1"/>
    <col min="4624" max="4624" width="17.33203125" style="325" customWidth="1"/>
    <col min="4625" max="4625" width="14.77734375" style="325" customWidth="1"/>
    <col min="4626" max="4634" width="9" style="325" customWidth="1"/>
    <col min="4635" max="4635" width="7.21875" style="325" bestFit="1" customWidth="1"/>
    <col min="4636" max="4637" width="9" style="325" customWidth="1"/>
    <col min="4638" max="4642" width="10.33203125" style="325" customWidth="1"/>
    <col min="4643" max="4864" width="9" style="325" customWidth="1"/>
    <col min="4865" max="4865" width="60.33203125" style="325" customWidth="1"/>
    <col min="4866" max="4866" width="2.77734375" style="325" customWidth="1"/>
    <col min="4867" max="4867" width="14.77734375" style="325" customWidth="1"/>
    <col min="4868" max="4868" width="13.77734375" style="325" bestFit="1" customWidth="1"/>
    <col min="4869" max="4869" width="15.33203125" style="325" customWidth="1"/>
    <col min="4870" max="4870" width="14.21875" style="325" customWidth="1"/>
    <col min="4871" max="4871" width="15.21875" style="325" customWidth="1"/>
    <col min="4872" max="4872" width="13.33203125" style="325" customWidth="1"/>
    <col min="4873" max="4873" width="17.33203125" style="325" customWidth="1"/>
    <col min="4874" max="4874" width="15.21875" style="325" customWidth="1"/>
    <col min="4875" max="4875" width="19.6640625" style="325" customWidth="1"/>
    <col min="4876" max="4878" width="16" style="325" customWidth="1"/>
    <col min="4879" max="4879" width="14.77734375" style="325" customWidth="1"/>
    <col min="4880" max="4880" width="17.33203125" style="325" customWidth="1"/>
    <col min="4881" max="4881" width="14.77734375" style="325" customWidth="1"/>
    <col min="4882" max="4890" width="9" style="325" customWidth="1"/>
    <col min="4891" max="4891" width="7.21875" style="325" bestFit="1" customWidth="1"/>
    <col min="4892" max="4893" width="9" style="325" customWidth="1"/>
    <col min="4894" max="4898" width="10.33203125" style="325" customWidth="1"/>
    <col min="4899" max="5120" width="9" style="325" customWidth="1"/>
    <col min="5121" max="5121" width="60.33203125" style="325" customWidth="1"/>
    <col min="5122" max="5122" width="2.77734375" style="325" customWidth="1"/>
    <col min="5123" max="5123" width="14.77734375" style="325" customWidth="1"/>
    <col min="5124" max="5124" width="13.77734375" style="325" bestFit="1" customWidth="1"/>
    <col min="5125" max="5125" width="15.33203125" style="325" customWidth="1"/>
    <col min="5126" max="5126" width="14.21875" style="325" customWidth="1"/>
    <col min="5127" max="5127" width="15.21875" style="325" customWidth="1"/>
    <col min="5128" max="5128" width="13.33203125" style="325" customWidth="1"/>
    <col min="5129" max="5129" width="17.33203125" style="325" customWidth="1"/>
    <col min="5130" max="5130" width="15.21875" style="325" customWidth="1"/>
    <col min="5131" max="5131" width="19.6640625" style="325" customWidth="1"/>
    <col min="5132" max="5134" width="16" style="325" customWidth="1"/>
    <col min="5135" max="5135" width="14.77734375" style="325" customWidth="1"/>
    <col min="5136" max="5136" width="17.33203125" style="325" customWidth="1"/>
    <col min="5137" max="5137" width="14.77734375" style="325" customWidth="1"/>
    <col min="5138" max="5146" width="9" style="325" customWidth="1"/>
    <col min="5147" max="5147" width="7.21875" style="325" bestFit="1" customWidth="1"/>
    <col min="5148" max="5149" width="9" style="325" customWidth="1"/>
    <col min="5150" max="5154" width="10.33203125" style="325" customWidth="1"/>
    <col min="5155" max="5376" width="9" style="325" customWidth="1"/>
    <col min="5377" max="5377" width="60.33203125" style="325" customWidth="1"/>
    <col min="5378" max="5378" width="2.77734375" style="325" customWidth="1"/>
    <col min="5379" max="5379" width="14.77734375" style="325" customWidth="1"/>
    <col min="5380" max="5380" width="13.77734375" style="325" bestFit="1" customWidth="1"/>
    <col min="5381" max="5381" width="15.33203125" style="325" customWidth="1"/>
    <col min="5382" max="5382" width="14.21875" style="325" customWidth="1"/>
    <col min="5383" max="5383" width="15.21875" style="325" customWidth="1"/>
    <col min="5384" max="5384" width="13.33203125" style="325" customWidth="1"/>
    <col min="5385" max="5385" width="17.33203125" style="325" customWidth="1"/>
    <col min="5386" max="5386" width="15.21875" style="325" customWidth="1"/>
    <col min="5387" max="5387" width="19.6640625" style="325" customWidth="1"/>
    <col min="5388" max="5390" width="16" style="325" customWidth="1"/>
    <col min="5391" max="5391" width="14.77734375" style="325" customWidth="1"/>
    <col min="5392" max="5392" width="17.33203125" style="325" customWidth="1"/>
    <col min="5393" max="5393" width="14.77734375" style="325" customWidth="1"/>
    <col min="5394" max="5402" width="9" style="325" customWidth="1"/>
    <col min="5403" max="5403" width="7.21875" style="325" bestFit="1" customWidth="1"/>
    <col min="5404" max="5405" width="9" style="325" customWidth="1"/>
    <col min="5406" max="5410" width="10.33203125" style="325" customWidth="1"/>
    <col min="5411" max="5632" width="9" style="325" customWidth="1"/>
    <col min="5633" max="5633" width="60.33203125" style="325" customWidth="1"/>
    <col min="5634" max="5634" width="2.77734375" style="325" customWidth="1"/>
    <col min="5635" max="5635" width="14.77734375" style="325" customWidth="1"/>
    <col min="5636" max="5636" width="13.77734375" style="325" bestFit="1" customWidth="1"/>
    <col min="5637" max="5637" width="15.33203125" style="325" customWidth="1"/>
    <col min="5638" max="5638" width="14.21875" style="325" customWidth="1"/>
    <col min="5639" max="5639" width="15.21875" style="325" customWidth="1"/>
    <col min="5640" max="5640" width="13.33203125" style="325" customWidth="1"/>
    <col min="5641" max="5641" width="17.33203125" style="325" customWidth="1"/>
    <col min="5642" max="5642" width="15.21875" style="325" customWidth="1"/>
    <col min="5643" max="5643" width="19.6640625" style="325" customWidth="1"/>
    <col min="5644" max="5646" width="16" style="325" customWidth="1"/>
    <col min="5647" max="5647" width="14.77734375" style="325" customWidth="1"/>
    <col min="5648" max="5648" width="17.33203125" style="325" customWidth="1"/>
    <col min="5649" max="5649" width="14.77734375" style="325" customWidth="1"/>
    <col min="5650" max="5658" width="9" style="325" customWidth="1"/>
    <col min="5659" max="5659" width="7.21875" style="325" bestFit="1" customWidth="1"/>
    <col min="5660" max="5661" width="9" style="325" customWidth="1"/>
    <col min="5662" max="5666" width="10.33203125" style="325" customWidth="1"/>
    <col min="5667" max="5888" width="9" style="325" customWidth="1"/>
    <col min="5889" max="5889" width="60.33203125" style="325" customWidth="1"/>
    <col min="5890" max="5890" width="2.77734375" style="325" customWidth="1"/>
    <col min="5891" max="5891" width="14.77734375" style="325" customWidth="1"/>
    <col min="5892" max="5892" width="13.77734375" style="325" bestFit="1" customWidth="1"/>
    <col min="5893" max="5893" width="15.33203125" style="325" customWidth="1"/>
    <col min="5894" max="5894" width="14.21875" style="325" customWidth="1"/>
    <col min="5895" max="5895" width="15.21875" style="325" customWidth="1"/>
    <col min="5896" max="5896" width="13.33203125" style="325" customWidth="1"/>
    <col min="5897" max="5897" width="17.33203125" style="325" customWidth="1"/>
    <col min="5898" max="5898" width="15.21875" style="325" customWidth="1"/>
    <col min="5899" max="5899" width="19.6640625" style="325" customWidth="1"/>
    <col min="5900" max="5902" width="16" style="325" customWidth="1"/>
    <col min="5903" max="5903" width="14.77734375" style="325" customWidth="1"/>
    <col min="5904" max="5904" width="17.33203125" style="325" customWidth="1"/>
    <col min="5905" max="5905" width="14.77734375" style="325" customWidth="1"/>
    <col min="5906" max="5914" width="9" style="325" customWidth="1"/>
    <col min="5915" max="5915" width="7.21875" style="325" bestFit="1" customWidth="1"/>
    <col min="5916" max="5917" width="9" style="325" customWidth="1"/>
    <col min="5918" max="5922" width="10.33203125" style="325" customWidth="1"/>
    <col min="5923" max="6144" width="9" style="325" customWidth="1"/>
    <col min="6145" max="6145" width="60.33203125" style="325" customWidth="1"/>
    <col min="6146" max="6146" width="2.77734375" style="325" customWidth="1"/>
    <col min="6147" max="6147" width="14.77734375" style="325" customWidth="1"/>
    <col min="6148" max="6148" width="13.77734375" style="325" bestFit="1" customWidth="1"/>
    <col min="6149" max="6149" width="15.33203125" style="325" customWidth="1"/>
    <col min="6150" max="6150" width="14.21875" style="325" customWidth="1"/>
    <col min="6151" max="6151" width="15.21875" style="325" customWidth="1"/>
    <col min="6152" max="6152" width="13.33203125" style="325" customWidth="1"/>
    <col min="6153" max="6153" width="17.33203125" style="325" customWidth="1"/>
    <col min="6154" max="6154" width="15.21875" style="325" customWidth="1"/>
    <col min="6155" max="6155" width="19.6640625" style="325" customWidth="1"/>
    <col min="6156" max="6158" width="16" style="325" customWidth="1"/>
    <col min="6159" max="6159" width="14.77734375" style="325" customWidth="1"/>
    <col min="6160" max="6160" width="17.33203125" style="325" customWidth="1"/>
    <col min="6161" max="6161" width="14.77734375" style="325" customWidth="1"/>
    <col min="6162" max="6170" width="9" style="325" customWidth="1"/>
    <col min="6171" max="6171" width="7.21875" style="325" bestFit="1" customWidth="1"/>
    <col min="6172" max="6173" width="9" style="325" customWidth="1"/>
    <col min="6174" max="6178" width="10.33203125" style="325" customWidth="1"/>
    <col min="6179" max="6400" width="9" style="325" customWidth="1"/>
    <col min="6401" max="6401" width="60.33203125" style="325" customWidth="1"/>
    <col min="6402" max="6402" width="2.77734375" style="325" customWidth="1"/>
    <col min="6403" max="6403" width="14.77734375" style="325" customWidth="1"/>
    <col min="6404" max="6404" width="13.77734375" style="325" bestFit="1" customWidth="1"/>
    <col min="6405" max="6405" width="15.33203125" style="325" customWidth="1"/>
    <col min="6406" max="6406" width="14.21875" style="325" customWidth="1"/>
    <col min="6407" max="6407" width="15.21875" style="325" customWidth="1"/>
    <col min="6408" max="6408" width="13.33203125" style="325" customWidth="1"/>
    <col min="6409" max="6409" width="17.33203125" style="325" customWidth="1"/>
    <col min="6410" max="6410" width="15.21875" style="325" customWidth="1"/>
    <col min="6411" max="6411" width="19.6640625" style="325" customWidth="1"/>
    <col min="6412" max="6414" width="16" style="325" customWidth="1"/>
    <col min="6415" max="6415" width="14.77734375" style="325" customWidth="1"/>
    <col min="6416" max="6416" width="17.33203125" style="325" customWidth="1"/>
    <col min="6417" max="6417" width="14.77734375" style="325" customWidth="1"/>
    <col min="6418" max="6426" width="9" style="325" customWidth="1"/>
    <col min="6427" max="6427" width="7.21875" style="325" bestFit="1" customWidth="1"/>
    <col min="6428" max="6429" width="9" style="325" customWidth="1"/>
    <col min="6430" max="6434" width="10.33203125" style="325" customWidth="1"/>
    <col min="6435" max="6656" width="9" style="325" customWidth="1"/>
    <col min="6657" max="6657" width="60.33203125" style="325" customWidth="1"/>
    <col min="6658" max="6658" width="2.77734375" style="325" customWidth="1"/>
    <col min="6659" max="6659" width="14.77734375" style="325" customWidth="1"/>
    <col min="6660" max="6660" width="13.77734375" style="325" bestFit="1" customWidth="1"/>
    <col min="6661" max="6661" width="15.33203125" style="325" customWidth="1"/>
    <col min="6662" max="6662" width="14.21875" style="325" customWidth="1"/>
    <col min="6663" max="6663" width="15.21875" style="325" customWidth="1"/>
    <col min="6664" max="6664" width="13.33203125" style="325" customWidth="1"/>
    <col min="6665" max="6665" width="17.33203125" style="325" customWidth="1"/>
    <col min="6666" max="6666" width="15.21875" style="325" customWidth="1"/>
    <col min="6667" max="6667" width="19.6640625" style="325" customWidth="1"/>
    <col min="6668" max="6670" width="16" style="325" customWidth="1"/>
    <col min="6671" max="6671" width="14.77734375" style="325" customWidth="1"/>
    <col min="6672" max="6672" width="17.33203125" style="325" customWidth="1"/>
    <col min="6673" max="6673" width="14.77734375" style="325" customWidth="1"/>
    <col min="6674" max="6682" width="9" style="325" customWidth="1"/>
    <col min="6683" max="6683" width="7.21875" style="325" bestFit="1" customWidth="1"/>
    <col min="6684" max="6685" width="9" style="325" customWidth="1"/>
    <col min="6686" max="6690" width="10.33203125" style="325" customWidth="1"/>
    <col min="6691" max="6912" width="9" style="325" customWidth="1"/>
    <col min="6913" max="6913" width="60.33203125" style="325" customWidth="1"/>
    <col min="6914" max="6914" width="2.77734375" style="325" customWidth="1"/>
    <col min="6915" max="6915" width="14.77734375" style="325" customWidth="1"/>
    <col min="6916" max="6916" width="13.77734375" style="325" bestFit="1" customWidth="1"/>
    <col min="6917" max="6917" width="15.33203125" style="325" customWidth="1"/>
    <col min="6918" max="6918" width="14.21875" style="325" customWidth="1"/>
    <col min="6919" max="6919" width="15.21875" style="325" customWidth="1"/>
    <col min="6920" max="6920" width="13.33203125" style="325" customWidth="1"/>
    <col min="6921" max="6921" width="17.33203125" style="325" customWidth="1"/>
    <col min="6922" max="6922" width="15.21875" style="325" customWidth="1"/>
    <col min="6923" max="6923" width="19.6640625" style="325" customWidth="1"/>
    <col min="6924" max="6926" width="16" style="325" customWidth="1"/>
    <col min="6927" max="6927" width="14.77734375" style="325" customWidth="1"/>
    <col min="6928" max="6928" width="17.33203125" style="325" customWidth="1"/>
    <col min="6929" max="6929" width="14.77734375" style="325" customWidth="1"/>
    <col min="6930" max="6938" width="9" style="325" customWidth="1"/>
    <col min="6939" max="6939" width="7.21875" style="325" bestFit="1" customWidth="1"/>
    <col min="6940" max="6941" width="9" style="325" customWidth="1"/>
    <col min="6942" max="6946" width="10.33203125" style="325" customWidth="1"/>
    <col min="6947" max="7168" width="9" style="325" customWidth="1"/>
    <col min="7169" max="7169" width="60.33203125" style="325" customWidth="1"/>
    <col min="7170" max="7170" width="2.77734375" style="325" customWidth="1"/>
    <col min="7171" max="7171" width="14.77734375" style="325" customWidth="1"/>
    <col min="7172" max="7172" width="13.77734375" style="325" bestFit="1" customWidth="1"/>
    <col min="7173" max="7173" width="15.33203125" style="325" customWidth="1"/>
    <col min="7174" max="7174" width="14.21875" style="325" customWidth="1"/>
    <col min="7175" max="7175" width="15.21875" style="325" customWidth="1"/>
    <col min="7176" max="7176" width="13.33203125" style="325" customWidth="1"/>
    <col min="7177" max="7177" width="17.33203125" style="325" customWidth="1"/>
    <col min="7178" max="7178" width="15.21875" style="325" customWidth="1"/>
    <col min="7179" max="7179" width="19.6640625" style="325" customWidth="1"/>
    <col min="7180" max="7182" width="16" style="325" customWidth="1"/>
    <col min="7183" max="7183" width="14.77734375" style="325" customWidth="1"/>
    <col min="7184" max="7184" width="17.33203125" style="325" customWidth="1"/>
    <col min="7185" max="7185" width="14.77734375" style="325" customWidth="1"/>
    <col min="7186" max="7194" width="9" style="325" customWidth="1"/>
    <col min="7195" max="7195" width="7.21875" style="325" bestFit="1" customWidth="1"/>
    <col min="7196" max="7197" width="9" style="325" customWidth="1"/>
    <col min="7198" max="7202" width="10.33203125" style="325" customWidth="1"/>
    <col min="7203" max="7424" width="9" style="325" customWidth="1"/>
    <col min="7425" max="7425" width="60.33203125" style="325" customWidth="1"/>
    <col min="7426" max="7426" width="2.77734375" style="325" customWidth="1"/>
    <col min="7427" max="7427" width="14.77734375" style="325" customWidth="1"/>
    <col min="7428" max="7428" width="13.77734375" style="325" bestFit="1" customWidth="1"/>
    <col min="7429" max="7429" width="15.33203125" style="325" customWidth="1"/>
    <col min="7430" max="7430" width="14.21875" style="325" customWidth="1"/>
    <col min="7431" max="7431" width="15.21875" style="325" customWidth="1"/>
    <col min="7432" max="7432" width="13.33203125" style="325" customWidth="1"/>
    <col min="7433" max="7433" width="17.33203125" style="325" customWidth="1"/>
    <col min="7434" max="7434" width="15.21875" style="325" customWidth="1"/>
    <col min="7435" max="7435" width="19.6640625" style="325" customWidth="1"/>
    <col min="7436" max="7438" width="16" style="325" customWidth="1"/>
    <col min="7439" max="7439" width="14.77734375" style="325" customWidth="1"/>
    <col min="7440" max="7440" width="17.33203125" style="325" customWidth="1"/>
    <col min="7441" max="7441" width="14.77734375" style="325" customWidth="1"/>
    <col min="7442" max="7450" width="9" style="325" customWidth="1"/>
    <col min="7451" max="7451" width="7.21875" style="325" bestFit="1" customWidth="1"/>
    <col min="7452" max="7453" width="9" style="325" customWidth="1"/>
    <col min="7454" max="7458" width="10.33203125" style="325" customWidth="1"/>
    <col min="7459" max="7680" width="9" style="325" customWidth="1"/>
    <col min="7681" max="7681" width="60.33203125" style="325" customWidth="1"/>
    <col min="7682" max="7682" width="2.77734375" style="325" customWidth="1"/>
    <col min="7683" max="7683" width="14.77734375" style="325" customWidth="1"/>
    <col min="7684" max="7684" width="13.77734375" style="325" bestFit="1" customWidth="1"/>
    <col min="7685" max="7685" width="15.33203125" style="325" customWidth="1"/>
    <col min="7686" max="7686" width="14.21875" style="325" customWidth="1"/>
    <col min="7687" max="7687" width="15.21875" style="325" customWidth="1"/>
    <col min="7688" max="7688" width="13.33203125" style="325" customWidth="1"/>
    <col min="7689" max="7689" width="17.33203125" style="325" customWidth="1"/>
    <col min="7690" max="7690" width="15.21875" style="325" customWidth="1"/>
    <col min="7691" max="7691" width="19.6640625" style="325" customWidth="1"/>
    <col min="7692" max="7694" width="16" style="325" customWidth="1"/>
    <col min="7695" max="7695" width="14.77734375" style="325" customWidth="1"/>
    <col min="7696" max="7696" width="17.33203125" style="325" customWidth="1"/>
    <col min="7697" max="7697" width="14.77734375" style="325" customWidth="1"/>
    <col min="7698" max="7706" width="9" style="325" customWidth="1"/>
    <col min="7707" max="7707" width="7.21875" style="325" bestFit="1" customWidth="1"/>
    <col min="7708" max="7709" width="9" style="325" customWidth="1"/>
    <col min="7710" max="7714" width="10.33203125" style="325" customWidth="1"/>
    <col min="7715" max="7936" width="9" style="325" customWidth="1"/>
    <col min="7937" max="7937" width="60.33203125" style="325" customWidth="1"/>
    <col min="7938" max="7938" width="2.77734375" style="325" customWidth="1"/>
    <col min="7939" max="7939" width="14.77734375" style="325" customWidth="1"/>
    <col min="7940" max="7940" width="13.77734375" style="325" bestFit="1" customWidth="1"/>
    <col min="7941" max="7941" width="15.33203125" style="325" customWidth="1"/>
    <col min="7942" max="7942" width="14.21875" style="325" customWidth="1"/>
    <col min="7943" max="7943" width="15.21875" style="325" customWidth="1"/>
    <col min="7944" max="7944" width="13.33203125" style="325" customWidth="1"/>
    <col min="7945" max="7945" width="17.33203125" style="325" customWidth="1"/>
    <col min="7946" max="7946" width="15.21875" style="325" customWidth="1"/>
    <col min="7947" max="7947" width="19.6640625" style="325" customWidth="1"/>
    <col min="7948" max="7950" width="16" style="325" customWidth="1"/>
    <col min="7951" max="7951" width="14.77734375" style="325" customWidth="1"/>
    <col min="7952" max="7952" width="17.33203125" style="325" customWidth="1"/>
    <col min="7953" max="7953" width="14.77734375" style="325" customWidth="1"/>
    <col min="7954" max="7962" width="9" style="325" customWidth="1"/>
    <col min="7963" max="7963" width="7.21875" style="325" bestFit="1" customWidth="1"/>
    <col min="7964" max="7965" width="9" style="325" customWidth="1"/>
    <col min="7966" max="7970" width="10.33203125" style="325" customWidth="1"/>
    <col min="7971" max="8192" width="9" style="325" customWidth="1"/>
    <col min="8193" max="8193" width="60.33203125" style="325" customWidth="1"/>
    <col min="8194" max="8194" width="2.77734375" style="325" customWidth="1"/>
    <col min="8195" max="8195" width="14.77734375" style="325" customWidth="1"/>
    <col min="8196" max="8196" width="13.77734375" style="325" bestFit="1" customWidth="1"/>
    <col min="8197" max="8197" width="15.33203125" style="325" customWidth="1"/>
    <col min="8198" max="8198" width="14.21875" style="325" customWidth="1"/>
    <col min="8199" max="8199" width="15.21875" style="325" customWidth="1"/>
    <col min="8200" max="8200" width="13.33203125" style="325" customWidth="1"/>
    <col min="8201" max="8201" width="17.33203125" style="325" customWidth="1"/>
    <col min="8202" max="8202" width="15.21875" style="325" customWidth="1"/>
    <col min="8203" max="8203" width="19.6640625" style="325" customWidth="1"/>
    <col min="8204" max="8206" width="16" style="325" customWidth="1"/>
    <col min="8207" max="8207" width="14.77734375" style="325" customWidth="1"/>
    <col min="8208" max="8208" width="17.33203125" style="325" customWidth="1"/>
    <col min="8209" max="8209" width="14.77734375" style="325" customWidth="1"/>
    <col min="8210" max="8218" width="9" style="325" customWidth="1"/>
    <col min="8219" max="8219" width="7.21875" style="325" bestFit="1" customWidth="1"/>
    <col min="8220" max="8221" width="9" style="325" customWidth="1"/>
    <col min="8222" max="8226" width="10.33203125" style="325" customWidth="1"/>
    <col min="8227" max="8448" width="9" style="325" customWidth="1"/>
    <col min="8449" max="8449" width="60.33203125" style="325" customWidth="1"/>
    <col min="8450" max="8450" width="2.77734375" style="325" customWidth="1"/>
    <col min="8451" max="8451" width="14.77734375" style="325" customWidth="1"/>
    <col min="8452" max="8452" width="13.77734375" style="325" bestFit="1" customWidth="1"/>
    <col min="8453" max="8453" width="15.33203125" style="325" customWidth="1"/>
    <col min="8454" max="8454" width="14.21875" style="325" customWidth="1"/>
    <col min="8455" max="8455" width="15.21875" style="325" customWidth="1"/>
    <col min="8456" max="8456" width="13.33203125" style="325" customWidth="1"/>
    <col min="8457" max="8457" width="17.33203125" style="325" customWidth="1"/>
    <col min="8458" max="8458" width="15.21875" style="325" customWidth="1"/>
    <col min="8459" max="8459" width="19.6640625" style="325" customWidth="1"/>
    <col min="8460" max="8462" width="16" style="325" customWidth="1"/>
    <col min="8463" max="8463" width="14.77734375" style="325" customWidth="1"/>
    <col min="8464" max="8464" width="17.33203125" style="325" customWidth="1"/>
    <col min="8465" max="8465" width="14.77734375" style="325" customWidth="1"/>
    <col min="8466" max="8474" width="9" style="325" customWidth="1"/>
    <col min="8475" max="8475" width="7.21875" style="325" bestFit="1" customWidth="1"/>
    <col min="8476" max="8477" width="9" style="325" customWidth="1"/>
    <col min="8478" max="8482" width="10.33203125" style="325" customWidth="1"/>
    <col min="8483" max="8704" width="9" style="325" customWidth="1"/>
    <col min="8705" max="8705" width="60.33203125" style="325" customWidth="1"/>
    <col min="8706" max="8706" width="2.77734375" style="325" customWidth="1"/>
    <col min="8707" max="8707" width="14.77734375" style="325" customWidth="1"/>
    <col min="8708" max="8708" width="13.77734375" style="325" bestFit="1" customWidth="1"/>
    <col min="8709" max="8709" width="15.33203125" style="325" customWidth="1"/>
    <col min="8710" max="8710" width="14.21875" style="325" customWidth="1"/>
    <col min="8711" max="8711" width="15.21875" style="325" customWidth="1"/>
    <col min="8712" max="8712" width="13.33203125" style="325" customWidth="1"/>
    <col min="8713" max="8713" width="17.33203125" style="325" customWidth="1"/>
    <col min="8714" max="8714" width="15.21875" style="325" customWidth="1"/>
    <col min="8715" max="8715" width="19.6640625" style="325" customWidth="1"/>
    <col min="8716" max="8718" width="16" style="325" customWidth="1"/>
    <col min="8719" max="8719" width="14.77734375" style="325" customWidth="1"/>
    <col min="8720" max="8720" width="17.33203125" style="325" customWidth="1"/>
    <col min="8721" max="8721" width="14.77734375" style="325" customWidth="1"/>
    <col min="8722" max="8730" width="9" style="325" customWidth="1"/>
    <col min="8731" max="8731" width="7.21875" style="325" bestFit="1" customWidth="1"/>
    <col min="8732" max="8733" width="9" style="325" customWidth="1"/>
    <col min="8734" max="8738" width="10.33203125" style="325" customWidth="1"/>
    <col min="8739" max="8960" width="9" style="325" customWidth="1"/>
    <col min="8961" max="8961" width="60.33203125" style="325" customWidth="1"/>
    <col min="8962" max="8962" width="2.77734375" style="325" customWidth="1"/>
    <col min="8963" max="8963" width="14.77734375" style="325" customWidth="1"/>
    <col min="8964" max="8964" width="13.77734375" style="325" bestFit="1" customWidth="1"/>
    <col min="8965" max="8965" width="15.33203125" style="325" customWidth="1"/>
    <col min="8966" max="8966" width="14.21875" style="325" customWidth="1"/>
    <col min="8967" max="8967" width="15.21875" style="325" customWidth="1"/>
    <col min="8968" max="8968" width="13.33203125" style="325" customWidth="1"/>
    <col min="8969" max="8969" width="17.33203125" style="325" customWidth="1"/>
    <col min="8970" max="8970" width="15.21875" style="325" customWidth="1"/>
    <col min="8971" max="8971" width="19.6640625" style="325" customWidth="1"/>
    <col min="8972" max="8974" width="16" style="325" customWidth="1"/>
    <col min="8975" max="8975" width="14.77734375" style="325" customWidth="1"/>
    <col min="8976" max="8976" width="17.33203125" style="325" customWidth="1"/>
    <col min="8977" max="8977" width="14.77734375" style="325" customWidth="1"/>
    <col min="8978" max="8986" width="9" style="325" customWidth="1"/>
    <col min="8987" max="8987" width="7.21875" style="325" bestFit="1" customWidth="1"/>
    <col min="8988" max="8989" width="9" style="325" customWidth="1"/>
    <col min="8990" max="8994" width="10.33203125" style="325" customWidth="1"/>
    <col min="8995" max="9216" width="9" style="325" customWidth="1"/>
    <col min="9217" max="9217" width="60.33203125" style="325" customWidth="1"/>
    <col min="9218" max="9218" width="2.77734375" style="325" customWidth="1"/>
    <col min="9219" max="9219" width="14.77734375" style="325" customWidth="1"/>
    <col min="9220" max="9220" width="13.77734375" style="325" bestFit="1" customWidth="1"/>
    <col min="9221" max="9221" width="15.33203125" style="325" customWidth="1"/>
    <col min="9222" max="9222" width="14.21875" style="325" customWidth="1"/>
    <col min="9223" max="9223" width="15.21875" style="325" customWidth="1"/>
    <col min="9224" max="9224" width="13.33203125" style="325" customWidth="1"/>
    <col min="9225" max="9225" width="17.33203125" style="325" customWidth="1"/>
    <col min="9226" max="9226" width="15.21875" style="325" customWidth="1"/>
    <col min="9227" max="9227" width="19.6640625" style="325" customWidth="1"/>
    <col min="9228" max="9230" width="16" style="325" customWidth="1"/>
    <col min="9231" max="9231" width="14.77734375" style="325" customWidth="1"/>
    <col min="9232" max="9232" width="17.33203125" style="325" customWidth="1"/>
    <col min="9233" max="9233" width="14.77734375" style="325" customWidth="1"/>
    <col min="9234" max="9242" width="9" style="325" customWidth="1"/>
    <col min="9243" max="9243" width="7.21875" style="325" bestFit="1" customWidth="1"/>
    <col min="9244" max="9245" width="9" style="325" customWidth="1"/>
    <col min="9246" max="9250" width="10.33203125" style="325" customWidth="1"/>
    <col min="9251" max="9472" width="9" style="325" customWidth="1"/>
    <col min="9473" max="9473" width="60.33203125" style="325" customWidth="1"/>
    <col min="9474" max="9474" width="2.77734375" style="325" customWidth="1"/>
    <col min="9475" max="9475" width="14.77734375" style="325" customWidth="1"/>
    <col min="9476" max="9476" width="13.77734375" style="325" bestFit="1" customWidth="1"/>
    <col min="9477" max="9477" width="15.33203125" style="325" customWidth="1"/>
    <col min="9478" max="9478" width="14.21875" style="325" customWidth="1"/>
    <col min="9479" max="9479" width="15.21875" style="325" customWidth="1"/>
    <col min="9480" max="9480" width="13.33203125" style="325" customWidth="1"/>
    <col min="9481" max="9481" width="17.33203125" style="325" customWidth="1"/>
    <col min="9482" max="9482" width="15.21875" style="325" customWidth="1"/>
    <col min="9483" max="9483" width="19.6640625" style="325" customWidth="1"/>
    <col min="9484" max="9486" width="16" style="325" customWidth="1"/>
    <col min="9487" max="9487" width="14.77734375" style="325" customWidth="1"/>
    <col min="9488" max="9488" width="17.33203125" style="325" customWidth="1"/>
    <col min="9489" max="9489" width="14.77734375" style="325" customWidth="1"/>
    <col min="9490" max="9498" width="9" style="325" customWidth="1"/>
    <col min="9499" max="9499" width="7.21875" style="325" bestFit="1" customWidth="1"/>
    <col min="9500" max="9501" width="9" style="325" customWidth="1"/>
    <col min="9502" max="9506" width="10.33203125" style="325" customWidth="1"/>
    <col min="9507" max="9728" width="9" style="325" customWidth="1"/>
    <col min="9729" max="9729" width="60.33203125" style="325" customWidth="1"/>
    <col min="9730" max="9730" width="2.77734375" style="325" customWidth="1"/>
    <col min="9731" max="9731" width="14.77734375" style="325" customWidth="1"/>
    <col min="9732" max="9732" width="13.77734375" style="325" bestFit="1" customWidth="1"/>
    <col min="9733" max="9733" width="15.33203125" style="325" customWidth="1"/>
    <col min="9734" max="9734" width="14.21875" style="325" customWidth="1"/>
    <col min="9735" max="9735" width="15.21875" style="325" customWidth="1"/>
    <col min="9736" max="9736" width="13.33203125" style="325" customWidth="1"/>
    <col min="9737" max="9737" width="17.33203125" style="325" customWidth="1"/>
    <col min="9738" max="9738" width="15.21875" style="325" customWidth="1"/>
    <col min="9739" max="9739" width="19.6640625" style="325" customWidth="1"/>
    <col min="9740" max="9742" width="16" style="325" customWidth="1"/>
    <col min="9743" max="9743" width="14.77734375" style="325" customWidth="1"/>
    <col min="9744" max="9744" width="17.33203125" style="325" customWidth="1"/>
    <col min="9745" max="9745" width="14.77734375" style="325" customWidth="1"/>
    <col min="9746" max="9754" width="9" style="325" customWidth="1"/>
    <col min="9755" max="9755" width="7.21875" style="325" bestFit="1" customWidth="1"/>
    <col min="9756" max="9757" width="9" style="325" customWidth="1"/>
    <col min="9758" max="9762" width="10.33203125" style="325" customWidth="1"/>
    <col min="9763" max="9984" width="9" style="325" customWidth="1"/>
    <col min="9985" max="9985" width="60.33203125" style="325" customWidth="1"/>
    <col min="9986" max="9986" width="2.77734375" style="325" customWidth="1"/>
    <col min="9987" max="9987" width="14.77734375" style="325" customWidth="1"/>
    <col min="9988" max="9988" width="13.77734375" style="325" bestFit="1" customWidth="1"/>
    <col min="9989" max="9989" width="15.33203125" style="325" customWidth="1"/>
    <col min="9990" max="9990" width="14.21875" style="325" customWidth="1"/>
    <col min="9991" max="9991" width="15.21875" style="325" customWidth="1"/>
    <col min="9992" max="9992" width="13.33203125" style="325" customWidth="1"/>
    <col min="9993" max="9993" width="17.33203125" style="325" customWidth="1"/>
    <col min="9994" max="9994" width="15.21875" style="325" customWidth="1"/>
    <col min="9995" max="9995" width="19.6640625" style="325" customWidth="1"/>
    <col min="9996" max="9998" width="16" style="325" customWidth="1"/>
    <col min="9999" max="9999" width="14.77734375" style="325" customWidth="1"/>
    <col min="10000" max="10000" width="17.33203125" style="325" customWidth="1"/>
    <col min="10001" max="10001" width="14.77734375" style="325" customWidth="1"/>
    <col min="10002" max="10010" width="9" style="325" customWidth="1"/>
    <col min="10011" max="10011" width="7.21875" style="325" bestFit="1" customWidth="1"/>
    <col min="10012" max="10013" width="9" style="325" customWidth="1"/>
    <col min="10014" max="10018" width="10.33203125" style="325" customWidth="1"/>
    <col min="10019" max="10240" width="9" style="325" customWidth="1"/>
    <col min="10241" max="10241" width="60.33203125" style="325" customWidth="1"/>
    <col min="10242" max="10242" width="2.77734375" style="325" customWidth="1"/>
    <col min="10243" max="10243" width="14.77734375" style="325" customWidth="1"/>
    <col min="10244" max="10244" width="13.77734375" style="325" bestFit="1" customWidth="1"/>
    <col min="10245" max="10245" width="15.33203125" style="325" customWidth="1"/>
    <col min="10246" max="10246" width="14.21875" style="325" customWidth="1"/>
    <col min="10247" max="10247" width="15.21875" style="325" customWidth="1"/>
    <col min="10248" max="10248" width="13.33203125" style="325" customWidth="1"/>
    <col min="10249" max="10249" width="17.33203125" style="325" customWidth="1"/>
    <col min="10250" max="10250" width="15.21875" style="325" customWidth="1"/>
    <col min="10251" max="10251" width="19.6640625" style="325" customWidth="1"/>
    <col min="10252" max="10254" width="16" style="325" customWidth="1"/>
    <col min="10255" max="10255" width="14.77734375" style="325" customWidth="1"/>
    <col min="10256" max="10256" width="17.33203125" style="325" customWidth="1"/>
    <col min="10257" max="10257" width="14.77734375" style="325" customWidth="1"/>
    <col min="10258" max="10266" width="9" style="325" customWidth="1"/>
    <col min="10267" max="10267" width="7.21875" style="325" bestFit="1" customWidth="1"/>
    <col min="10268" max="10269" width="9" style="325" customWidth="1"/>
    <col min="10270" max="10274" width="10.33203125" style="325" customWidth="1"/>
    <col min="10275" max="10496" width="9" style="325" customWidth="1"/>
    <col min="10497" max="10497" width="60.33203125" style="325" customWidth="1"/>
    <col min="10498" max="10498" width="2.77734375" style="325" customWidth="1"/>
    <col min="10499" max="10499" width="14.77734375" style="325" customWidth="1"/>
    <col min="10500" max="10500" width="13.77734375" style="325" bestFit="1" customWidth="1"/>
    <col min="10501" max="10501" width="15.33203125" style="325" customWidth="1"/>
    <col min="10502" max="10502" width="14.21875" style="325" customWidth="1"/>
    <col min="10503" max="10503" width="15.21875" style="325" customWidth="1"/>
    <col min="10504" max="10504" width="13.33203125" style="325" customWidth="1"/>
    <col min="10505" max="10505" width="17.33203125" style="325" customWidth="1"/>
    <col min="10506" max="10506" width="15.21875" style="325" customWidth="1"/>
    <col min="10507" max="10507" width="19.6640625" style="325" customWidth="1"/>
    <col min="10508" max="10510" width="16" style="325" customWidth="1"/>
    <col min="10511" max="10511" width="14.77734375" style="325" customWidth="1"/>
    <col min="10512" max="10512" width="17.33203125" style="325" customWidth="1"/>
    <col min="10513" max="10513" width="14.77734375" style="325" customWidth="1"/>
    <col min="10514" max="10522" width="9" style="325" customWidth="1"/>
    <col min="10523" max="10523" width="7.21875" style="325" bestFit="1" customWidth="1"/>
    <col min="10524" max="10525" width="9" style="325" customWidth="1"/>
    <col min="10526" max="10530" width="10.33203125" style="325" customWidth="1"/>
    <col min="10531" max="10752" width="9" style="325" customWidth="1"/>
    <col min="10753" max="10753" width="60.33203125" style="325" customWidth="1"/>
    <col min="10754" max="10754" width="2.77734375" style="325" customWidth="1"/>
    <col min="10755" max="10755" width="14.77734375" style="325" customWidth="1"/>
    <col min="10756" max="10756" width="13.77734375" style="325" bestFit="1" customWidth="1"/>
    <col min="10757" max="10757" width="15.33203125" style="325" customWidth="1"/>
    <col min="10758" max="10758" width="14.21875" style="325" customWidth="1"/>
    <col min="10759" max="10759" width="15.21875" style="325" customWidth="1"/>
    <col min="10760" max="10760" width="13.33203125" style="325" customWidth="1"/>
    <col min="10761" max="10761" width="17.33203125" style="325" customWidth="1"/>
    <col min="10762" max="10762" width="15.21875" style="325" customWidth="1"/>
    <col min="10763" max="10763" width="19.6640625" style="325" customWidth="1"/>
    <col min="10764" max="10766" width="16" style="325" customWidth="1"/>
    <col min="10767" max="10767" width="14.77734375" style="325" customWidth="1"/>
    <col min="10768" max="10768" width="17.33203125" style="325" customWidth="1"/>
    <col min="10769" max="10769" width="14.77734375" style="325" customWidth="1"/>
    <col min="10770" max="10778" width="9" style="325" customWidth="1"/>
    <col min="10779" max="10779" width="7.21875" style="325" bestFit="1" customWidth="1"/>
    <col min="10780" max="10781" width="9" style="325" customWidth="1"/>
    <col min="10782" max="10786" width="10.33203125" style="325" customWidth="1"/>
    <col min="10787" max="11008" width="9" style="325" customWidth="1"/>
    <col min="11009" max="11009" width="60.33203125" style="325" customWidth="1"/>
    <col min="11010" max="11010" width="2.77734375" style="325" customWidth="1"/>
    <col min="11011" max="11011" width="14.77734375" style="325" customWidth="1"/>
    <col min="11012" max="11012" width="13.77734375" style="325" bestFit="1" customWidth="1"/>
    <col min="11013" max="11013" width="15.33203125" style="325" customWidth="1"/>
    <col min="11014" max="11014" width="14.21875" style="325" customWidth="1"/>
    <col min="11015" max="11015" width="15.21875" style="325" customWidth="1"/>
    <col min="11016" max="11016" width="13.33203125" style="325" customWidth="1"/>
    <col min="11017" max="11017" width="17.33203125" style="325" customWidth="1"/>
    <col min="11018" max="11018" width="15.21875" style="325" customWidth="1"/>
    <col min="11019" max="11019" width="19.6640625" style="325" customWidth="1"/>
    <col min="11020" max="11022" width="16" style="325" customWidth="1"/>
    <col min="11023" max="11023" width="14.77734375" style="325" customWidth="1"/>
    <col min="11024" max="11024" width="17.33203125" style="325" customWidth="1"/>
    <col min="11025" max="11025" width="14.77734375" style="325" customWidth="1"/>
    <col min="11026" max="11034" width="9" style="325" customWidth="1"/>
    <col min="11035" max="11035" width="7.21875" style="325" bestFit="1" customWidth="1"/>
    <col min="11036" max="11037" width="9" style="325" customWidth="1"/>
    <col min="11038" max="11042" width="10.33203125" style="325" customWidth="1"/>
    <col min="11043" max="11264" width="9" style="325" customWidth="1"/>
    <col min="11265" max="11265" width="60.33203125" style="325" customWidth="1"/>
    <col min="11266" max="11266" width="2.77734375" style="325" customWidth="1"/>
    <col min="11267" max="11267" width="14.77734375" style="325" customWidth="1"/>
    <col min="11268" max="11268" width="13.77734375" style="325" bestFit="1" customWidth="1"/>
    <col min="11269" max="11269" width="15.33203125" style="325" customWidth="1"/>
    <col min="11270" max="11270" width="14.21875" style="325" customWidth="1"/>
    <col min="11271" max="11271" width="15.21875" style="325" customWidth="1"/>
    <col min="11272" max="11272" width="13.33203125" style="325" customWidth="1"/>
    <col min="11273" max="11273" width="17.33203125" style="325" customWidth="1"/>
    <col min="11274" max="11274" width="15.21875" style="325" customWidth="1"/>
    <col min="11275" max="11275" width="19.6640625" style="325" customWidth="1"/>
    <col min="11276" max="11278" width="16" style="325" customWidth="1"/>
    <col min="11279" max="11279" width="14.77734375" style="325" customWidth="1"/>
    <col min="11280" max="11280" width="17.33203125" style="325" customWidth="1"/>
    <col min="11281" max="11281" width="14.77734375" style="325" customWidth="1"/>
    <col min="11282" max="11290" width="9" style="325" customWidth="1"/>
    <col min="11291" max="11291" width="7.21875" style="325" bestFit="1" customWidth="1"/>
    <col min="11292" max="11293" width="9" style="325" customWidth="1"/>
    <col min="11294" max="11298" width="10.33203125" style="325" customWidth="1"/>
    <col min="11299" max="11520" width="9" style="325" customWidth="1"/>
    <col min="11521" max="11521" width="60.33203125" style="325" customWidth="1"/>
    <col min="11522" max="11522" width="2.77734375" style="325" customWidth="1"/>
    <col min="11523" max="11523" width="14.77734375" style="325" customWidth="1"/>
    <col min="11524" max="11524" width="13.77734375" style="325" bestFit="1" customWidth="1"/>
    <col min="11525" max="11525" width="15.33203125" style="325" customWidth="1"/>
    <col min="11526" max="11526" width="14.21875" style="325" customWidth="1"/>
    <col min="11527" max="11527" width="15.21875" style="325" customWidth="1"/>
    <col min="11528" max="11528" width="13.33203125" style="325" customWidth="1"/>
    <col min="11529" max="11529" width="17.33203125" style="325" customWidth="1"/>
    <col min="11530" max="11530" width="15.21875" style="325" customWidth="1"/>
    <col min="11531" max="11531" width="19.6640625" style="325" customWidth="1"/>
    <col min="11532" max="11534" width="16" style="325" customWidth="1"/>
    <col min="11535" max="11535" width="14.77734375" style="325" customWidth="1"/>
    <col min="11536" max="11536" width="17.33203125" style="325" customWidth="1"/>
    <col min="11537" max="11537" width="14.77734375" style="325" customWidth="1"/>
    <col min="11538" max="11546" width="9" style="325" customWidth="1"/>
    <col min="11547" max="11547" width="7.21875" style="325" bestFit="1" customWidth="1"/>
    <col min="11548" max="11549" width="9" style="325" customWidth="1"/>
    <col min="11550" max="11554" width="10.33203125" style="325" customWidth="1"/>
    <col min="11555" max="11776" width="9" style="325" customWidth="1"/>
    <col min="11777" max="11777" width="60.33203125" style="325" customWidth="1"/>
    <col min="11778" max="11778" width="2.77734375" style="325" customWidth="1"/>
    <col min="11779" max="11779" width="14.77734375" style="325" customWidth="1"/>
    <col min="11780" max="11780" width="13.77734375" style="325" bestFit="1" customWidth="1"/>
    <col min="11781" max="11781" width="15.33203125" style="325" customWidth="1"/>
    <col min="11782" max="11782" width="14.21875" style="325" customWidth="1"/>
    <col min="11783" max="11783" width="15.21875" style="325" customWidth="1"/>
    <col min="11784" max="11784" width="13.33203125" style="325" customWidth="1"/>
    <col min="11785" max="11785" width="17.33203125" style="325" customWidth="1"/>
    <col min="11786" max="11786" width="15.21875" style="325" customWidth="1"/>
    <col min="11787" max="11787" width="19.6640625" style="325" customWidth="1"/>
    <col min="11788" max="11790" width="16" style="325" customWidth="1"/>
    <col min="11791" max="11791" width="14.77734375" style="325" customWidth="1"/>
    <col min="11792" max="11792" width="17.33203125" style="325" customWidth="1"/>
    <col min="11793" max="11793" width="14.77734375" style="325" customWidth="1"/>
    <col min="11794" max="11802" width="9" style="325" customWidth="1"/>
    <col min="11803" max="11803" width="7.21875" style="325" bestFit="1" customWidth="1"/>
    <col min="11804" max="11805" width="9" style="325" customWidth="1"/>
    <col min="11806" max="11810" width="10.33203125" style="325" customWidth="1"/>
    <col min="11811" max="12032" width="9" style="325" customWidth="1"/>
    <col min="12033" max="12033" width="60.33203125" style="325" customWidth="1"/>
    <col min="12034" max="12034" width="2.77734375" style="325" customWidth="1"/>
    <col min="12035" max="12035" width="14.77734375" style="325" customWidth="1"/>
    <col min="12036" max="12036" width="13.77734375" style="325" bestFit="1" customWidth="1"/>
    <col min="12037" max="12037" width="15.33203125" style="325" customWidth="1"/>
    <col min="12038" max="12038" width="14.21875" style="325" customWidth="1"/>
    <col min="12039" max="12039" width="15.21875" style="325" customWidth="1"/>
    <col min="12040" max="12040" width="13.33203125" style="325" customWidth="1"/>
    <col min="12041" max="12041" width="17.33203125" style="325" customWidth="1"/>
    <col min="12042" max="12042" width="15.21875" style="325" customWidth="1"/>
    <col min="12043" max="12043" width="19.6640625" style="325" customWidth="1"/>
    <col min="12044" max="12046" width="16" style="325" customWidth="1"/>
    <col min="12047" max="12047" width="14.77734375" style="325" customWidth="1"/>
    <col min="12048" max="12048" width="17.33203125" style="325" customWidth="1"/>
    <col min="12049" max="12049" width="14.77734375" style="325" customWidth="1"/>
    <col min="12050" max="12058" width="9" style="325" customWidth="1"/>
    <col min="12059" max="12059" width="7.21875" style="325" bestFit="1" customWidth="1"/>
    <col min="12060" max="12061" width="9" style="325" customWidth="1"/>
    <col min="12062" max="12066" width="10.33203125" style="325" customWidth="1"/>
    <col min="12067" max="12288" width="9" style="325" customWidth="1"/>
    <col min="12289" max="12289" width="60.33203125" style="325" customWidth="1"/>
    <col min="12290" max="12290" width="2.77734375" style="325" customWidth="1"/>
    <col min="12291" max="12291" width="14.77734375" style="325" customWidth="1"/>
    <col min="12292" max="12292" width="13.77734375" style="325" bestFit="1" customWidth="1"/>
    <col min="12293" max="12293" width="15.33203125" style="325" customWidth="1"/>
    <col min="12294" max="12294" width="14.21875" style="325" customWidth="1"/>
    <col min="12295" max="12295" width="15.21875" style="325" customWidth="1"/>
    <col min="12296" max="12296" width="13.33203125" style="325" customWidth="1"/>
    <col min="12297" max="12297" width="17.33203125" style="325" customWidth="1"/>
    <col min="12298" max="12298" width="15.21875" style="325" customWidth="1"/>
    <col min="12299" max="12299" width="19.6640625" style="325" customWidth="1"/>
    <col min="12300" max="12302" width="16" style="325" customWidth="1"/>
    <col min="12303" max="12303" width="14.77734375" style="325" customWidth="1"/>
    <col min="12304" max="12304" width="17.33203125" style="325" customWidth="1"/>
    <col min="12305" max="12305" width="14.77734375" style="325" customWidth="1"/>
    <col min="12306" max="12314" width="9" style="325" customWidth="1"/>
    <col min="12315" max="12315" width="7.21875" style="325" bestFit="1" customWidth="1"/>
    <col min="12316" max="12317" width="9" style="325" customWidth="1"/>
    <col min="12318" max="12322" width="10.33203125" style="325" customWidth="1"/>
    <col min="12323" max="12544" width="9" style="325" customWidth="1"/>
    <col min="12545" max="12545" width="60.33203125" style="325" customWidth="1"/>
    <col min="12546" max="12546" width="2.77734375" style="325" customWidth="1"/>
    <col min="12547" max="12547" width="14.77734375" style="325" customWidth="1"/>
    <col min="12548" max="12548" width="13.77734375" style="325" bestFit="1" customWidth="1"/>
    <col min="12549" max="12549" width="15.33203125" style="325" customWidth="1"/>
    <col min="12550" max="12550" width="14.21875" style="325" customWidth="1"/>
    <col min="12551" max="12551" width="15.21875" style="325" customWidth="1"/>
    <col min="12552" max="12552" width="13.33203125" style="325" customWidth="1"/>
    <col min="12553" max="12553" width="17.33203125" style="325" customWidth="1"/>
    <col min="12554" max="12554" width="15.21875" style="325" customWidth="1"/>
    <col min="12555" max="12555" width="19.6640625" style="325" customWidth="1"/>
    <col min="12556" max="12558" width="16" style="325" customWidth="1"/>
    <col min="12559" max="12559" width="14.77734375" style="325" customWidth="1"/>
    <col min="12560" max="12560" width="17.33203125" style="325" customWidth="1"/>
    <col min="12561" max="12561" width="14.77734375" style="325" customWidth="1"/>
    <col min="12562" max="12570" width="9" style="325" customWidth="1"/>
    <col min="12571" max="12571" width="7.21875" style="325" bestFit="1" customWidth="1"/>
    <col min="12572" max="12573" width="9" style="325" customWidth="1"/>
    <col min="12574" max="12578" width="10.33203125" style="325" customWidth="1"/>
    <col min="12579" max="12800" width="9" style="325" customWidth="1"/>
    <col min="12801" max="12801" width="60.33203125" style="325" customWidth="1"/>
    <col min="12802" max="12802" width="2.77734375" style="325" customWidth="1"/>
    <col min="12803" max="12803" width="14.77734375" style="325" customWidth="1"/>
    <col min="12804" max="12804" width="13.77734375" style="325" bestFit="1" customWidth="1"/>
    <col min="12805" max="12805" width="15.33203125" style="325" customWidth="1"/>
    <col min="12806" max="12806" width="14.21875" style="325" customWidth="1"/>
    <col min="12807" max="12807" width="15.21875" style="325" customWidth="1"/>
    <col min="12808" max="12808" width="13.33203125" style="325" customWidth="1"/>
    <col min="12809" max="12809" width="17.33203125" style="325" customWidth="1"/>
    <col min="12810" max="12810" width="15.21875" style="325" customWidth="1"/>
    <col min="12811" max="12811" width="19.6640625" style="325" customWidth="1"/>
    <col min="12812" max="12814" width="16" style="325" customWidth="1"/>
    <col min="12815" max="12815" width="14.77734375" style="325" customWidth="1"/>
    <col min="12816" max="12816" width="17.33203125" style="325" customWidth="1"/>
    <col min="12817" max="12817" width="14.77734375" style="325" customWidth="1"/>
    <col min="12818" max="12826" width="9" style="325" customWidth="1"/>
    <col min="12827" max="12827" width="7.21875" style="325" bestFit="1" customWidth="1"/>
    <col min="12828" max="12829" width="9" style="325" customWidth="1"/>
    <col min="12830" max="12834" width="10.33203125" style="325" customWidth="1"/>
    <col min="12835" max="13056" width="9" style="325" customWidth="1"/>
    <col min="13057" max="13057" width="60.33203125" style="325" customWidth="1"/>
    <col min="13058" max="13058" width="2.77734375" style="325" customWidth="1"/>
    <col min="13059" max="13059" width="14.77734375" style="325" customWidth="1"/>
    <col min="13060" max="13060" width="13.77734375" style="325" bestFit="1" customWidth="1"/>
    <col min="13061" max="13061" width="15.33203125" style="325" customWidth="1"/>
    <col min="13062" max="13062" width="14.21875" style="325" customWidth="1"/>
    <col min="13063" max="13063" width="15.21875" style="325" customWidth="1"/>
    <col min="13064" max="13064" width="13.33203125" style="325" customWidth="1"/>
    <col min="13065" max="13065" width="17.33203125" style="325" customWidth="1"/>
    <col min="13066" max="13066" width="15.21875" style="325" customWidth="1"/>
    <col min="13067" max="13067" width="19.6640625" style="325" customWidth="1"/>
    <col min="13068" max="13070" width="16" style="325" customWidth="1"/>
    <col min="13071" max="13071" width="14.77734375" style="325" customWidth="1"/>
    <col min="13072" max="13072" width="17.33203125" style="325" customWidth="1"/>
    <col min="13073" max="13073" width="14.77734375" style="325" customWidth="1"/>
    <col min="13074" max="13082" width="9" style="325" customWidth="1"/>
    <col min="13083" max="13083" width="7.21875" style="325" bestFit="1" customWidth="1"/>
    <col min="13084" max="13085" width="9" style="325" customWidth="1"/>
    <col min="13086" max="13090" width="10.33203125" style="325" customWidth="1"/>
    <col min="13091" max="13312" width="9" style="325" customWidth="1"/>
    <col min="13313" max="13313" width="60.33203125" style="325" customWidth="1"/>
    <col min="13314" max="13314" width="2.77734375" style="325" customWidth="1"/>
    <col min="13315" max="13315" width="14.77734375" style="325" customWidth="1"/>
    <col min="13316" max="13316" width="13.77734375" style="325" bestFit="1" customWidth="1"/>
    <col min="13317" max="13317" width="15.33203125" style="325" customWidth="1"/>
    <col min="13318" max="13318" width="14.21875" style="325" customWidth="1"/>
    <col min="13319" max="13319" width="15.21875" style="325" customWidth="1"/>
    <col min="13320" max="13320" width="13.33203125" style="325" customWidth="1"/>
    <col min="13321" max="13321" width="17.33203125" style="325" customWidth="1"/>
    <col min="13322" max="13322" width="15.21875" style="325" customWidth="1"/>
    <col min="13323" max="13323" width="19.6640625" style="325" customWidth="1"/>
    <col min="13324" max="13326" width="16" style="325" customWidth="1"/>
    <col min="13327" max="13327" width="14.77734375" style="325" customWidth="1"/>
    <col min="13328" max="13328" width="17.33203125" style="325" customWidth="1"/>
    <col min="13329" max="13329" width="14.77734375" style="325" customWidth="1"/>
    <col min="13330" max="13338" width="9" style="325" customWidth="1"/>
    <col min="13339" max="13339" width="7.21875" style="325" bestFit="1" customWidth="1"/>
    <col min="13340" max="13341" width="9" style="325" customWidth="1"/>
    <col min="13342" max="13346" width="10.33203125" style="325" customWidth="1"/>
    <col min="13347" max="13568" width="9" style="325" customWidth="1"/>
    <col min="13569" max="13569" width="60.33203125" style="325" customWidth="1"/>
    <col min="13570" max="13570" width="2.77734375" style="325" customWidth="1"/>
    <col min="13571" max="13571" width="14.77734375" style="325" customWidth="1"/>
    <col min="13572" max="13572" width="13.77734375" style="325" bestFit="1" customWidth="1"/>
    <col min="13573" max="13573" width="15.33203125" style="325" customWidth="1"/>
    <col min="13574" max="13574" width="14.21875" style="325" customWidth="1"/>
    <col min="13575" max="13575" width="15.21875" style="325" customWidth="1"/>
    <col min="13576" max="13576" width="13.33203125" style="325" customWidth="1"/>
    <col min="13577" max="13577" width="17.33203125" style="325" customWidth="1"/>
    <col min="13578" max="13578" width="15.21875" style="325" customWidth="1"/>
    <col min="13579" max="13579" width="19.6640625" style="325" customWidth="1"/>
    <col min="13580" max="13582" width="16" style="325" customWidth="1"/>
    <col min="13583" max="13583" width="14.77734375" style="325" customWidth="1"/>
    <col min="13584" max="13584" width="17.33203125" style="325" customWidth="1"/>
    <col min="13585" max="13585" width="14.77734375" style="325" customWidth="1"/>
    <col min="13586" max="13594" width="9" style="325" customWidth="1"/>
    <col min="13595" max="13595" width="7.21875" style="325" bestFit="1" customWidth="1"/>
    <col min="13596" max="13597" width="9" style="325" customWidth="1"/>
    <col min="13598" max="13602" width="10.33203125" style="325" customWidth="1"/>
    <col min="13603" max="13824" width="9" style="325" customWidth="1"/>
    <col min="13825" max="13825" width="60.33203125" style="325" customWidth="1"/>
    <col min="13826" max="13826" width="2.77734375" style="325" customWidth="1"/>
    <col min="13827" max="13827" width="14.77734375" style="325" customWidth="1"/>
    <col min="13828" max="13828" width="13.77734375" style="325" bestFit="1" customWidth="1"/>
    <col min="13829" max="13829" width="15.33203125" style="325" customWidth="1"/>
    <col min="13830" max="13830" width="14.21875" style="325" customWidth="1"/>
    <col min="13831" max="13831" width="15.21875" style="325" customWidth="1"/>
    <col min="13832" max="13832" width="13.33203125" style="325" customWidth="1"/>
    <col min="13833" max="13833" width="17.33203125" style="325" customWidth="1"/>
    <col min="13834" max="13834" width="15.21875" style="325" customWidth="1"/>
    <col min="13835" max="13835" width="19.6640625" style="325" customWidth="1"/>
    <col min="13836" max="13838" width="16" style="325" customWidth="1"/>
    <col min="13839" max="13839" width="14.77734375" style="325" customWidth="1"/>
    <col min="13840" max="13840" width="17.33203125" style="325" customWidth="1"/>
    <col min="13841" max="13841" width="14.77734375" style="325" customWidth="1"/>
    <col min="13842" max="13850" width="9" style="325" customWidth="1"/>
    <col min="13851" max="13851" width="7.21875" style="325" bestFit="1" customWidth="1"/>
    <col min="13852" max="13853" width="9" style="325" customWidth="1"/>
    <col min="13854" max="13858" width="10.33203125" style="325" customWidth="1"/>
    <col min="13859" max="14080" width="9" style="325" customWidth="1"/>
    <col min="14081" max="14081" width="60.33203125" style="325" customWidth="1"/>
    <col min="14082" max="14082" width="2.77734375" style="325" customWidth="1"/>
    <col min="14083" max="14083" width="14.77734375" style="325" customWidth="1"/>
    <col min="14084" max="14084" width="13.77734375" style="325" bestFit="1" customWidth="1"/>
    <col min="14085" max="14085" width="15.33203125" style="325" customWidth="1"/>
    <col min="14086" max="14086" width="14.21875" style="325" customWidth="1"/>
    <col min="14087" max="14087" width="15.21875" style="325" customWidth="1"/>
    <col min="14088" max="14088" width="13.33203125" style="325" customWidth="1"/>
    <col min="14089" max="14089" width="17.33203125" style="325" customWidth="1"/>
    <col min="14090" max="14090" width="15.21875" style="325" customWidth="1"/>
    <col min="14091" max="14091" width="19.6640625" style="325" customWidth="1"/>
    <col min="14092" max="14094" width="16" style="325" customWidth="1"/>
    <col min="14095" max="14095" width="14.77734375" style="325" customWidth="1"/>
    <col min="14096" max="14096" width="17.33203125" style="325" customWidth="1"/>
    <col min="14097" max="14097" width="14.77734375" style="325" customWidth="1"/>
    <col min="14098" max="14106" width="9" style="325" customWidth="1"/>
    <col min="14107" max="14107" width="7.21875" style="325" bestFit="1" customWidth="1"/>
    <col min="14108" max="14109" width="9" style="325" customWidth="1"/>
    <col min="14110" max="14114" width="10.33203125" style="325" customWidth="1"/>
    <col min="14115" max="14336" width="9" style="325" customWidth="1"/>
    <col min="14337" max="14337" width="60.33203125" style="325" customWidth="1"/>
    <col min="14338" max="14338" width="2.77734375" style="325" customWidth="1"/>
    <col min="14339" max="14339" width="14.77734375" style="325" customWidth="1"/>
    <col min="14340" max="14340" width="13.77734375" style="325" bestFit="1" customWidth="1"/>
    <col min="14341" max="14341" width="15.33203125" style="325" customWidth="1"/>
    <col min="14342" max="14342" width="14.21875" style="325" customWidth="1"/>
    <col min="14343" max="14343" width="15.21875" style="325" customWidth="1"/>
    <col min="14344" max="14344" width="13.33203125" style="325" customWidth="1"/>
    <col min="14345" max="14345" width="17.33203125" style="325" customWidth="1"/>
    <col min="14346" max="14346" width="15.21875" style="325" customWidth="1"/>
    <col min="14347" max="14347" width="19.6640625" style="325" customWidth="1"/>
    <col min="14348" max="14350" width="16" style="325" customWidth="1"/>
    <col min="14351" max="14351" width="14.77734375" style="325" customWidth="1"/>
    <col min="14352" max="14352" width="17.33203125" style="325" customWidth="1"/>
    <col min="14353" max="14353" width="14.77734375" style="325" customWidth="1"/>
    <col min="14354" max="14362" width="9" style="325" customWidth="1"/>
    <col min="14363" max="14363" width="7.21875" style="325" bestFit="1" customWidth="1"/>
    <col min="14364" max="14365" width="9" style="325" customWidth="1"/>
    <col min="14366" max="14370" width="10.33203125" style="325" customWidth="1"/>
    <col min="14371" max="14592" width="9" style="325" customWidth="1"/>
    <col min="14593" max="14593" width="60.33203125" style="325" customWidth="1"/>
    <col min="14594" max="14594" width="2.77734375" style="325" customWidth="1"/>
    <col min="14595" max="14595" width="14.77734375" style="325" customWidth="1"/>
    <col min="14596" max="14596" width="13.77734375" style="325" bestFit="1" customWidth="1"/>
    <col min="14597" max="14597" width="15.33203125" style="325" customWidth="1"/>
    <col min="14598" max="14598" width="14.21875" style="325" customWidth="1"/>
    <col min="14599" max="14599" width="15.21875" style="325" customWidth="1"/>
    <col min="14600" max="14600" width="13.33203125" style="325" customWidth="1"/>
    <col min="14601" max="14601" width="17.33203125" style="325" customWidth="1"/>
    <col min="14602" max="14602" width="15.21875" style="325" customWidth="1"/>
    <col min="14603" max="14603" width="19.6640625" style="325" customWidth="1"/>
    <col min="14604" max="14606" width="16" style="325" customWidth="1"/>
    <col min="14607" max="14607" width="14.77734375" style="325" customWidth="1"/>
    <col min="14608" max="14608" width="17.33203125" style="325" customWidth="1"/>
    <col min="14609" max="14609" width="14.77734375" style="325" customWidth="1"/>
    <col min="14610" max="14618" width="9" style="325" customWidth="1"/>
    <col min="14619" max="14619" width="7.21875" style="325" bestFit="1" customWidth="1"/>
    <col min="14620" max="14621" width="9" style="325" customWidth="1"/>
    <col min="14622" max="14626" width="10.33203125" style="325" customWidth="1"/>
    <col min="14627" max="14848" width="9" style="325" customWidth="1"/>
    <col min="14849" max="14849" width="60.33203125" style="325" customWidth="1"/>
    <col min="14850" max="14850" width="2.77734375" style="325" customWidth="1"/>
    <col min="14851" max="14851" width="14.77734375" style="325" customWidth="1"/>
    <col min="14852" max="14852" width="13.77734375" style="325" bestFit="1" customWidth="1"/>
    <col min="14853" max="14853" width="15.33203125" style="325" customWidth="1"/>
    <col min="14854" max="14854" width="14.21875" style="325" customWidth="1"/>
    <col min="14855" max="14855" width="15.21875" style="325" customWidth="1"/>
    <col min="14856" max="14856" width="13.33203125" style="325" customWidth="1"/>
    <col min="14857" max="14857" width="17.33203125" style="325" customWidth="1"/>
    <col min="14858" max="14858" width="15.21875" style="325" customWidth="1"/>
    <col min="14859" max="14859" width="19.6640625" style="325" customWidth="1"/>
    <col min="14860" max="14862" width="16" style="325" customWidth="1"/>
    <col min="14863" max="14863" width="14.77734375" style="325" customWidth="1"/>
    <col min="14864" max="14864" width="17.33203125" style="325" customWidth="1"/>
    <col min="14865" max="14865" width="14.77734375" style="325" customWidth="1"/>
    <col min="14866" max="14874" width="9" style="325" customWidth="1"/>
    <col min="14875" max="14875" width="7.21875" style="325" bestFit="1" customWidth="1"/>
    <col min="14876" max="14877" width="9" style="325" customWidth="1"/>
    <col min="14878" max="14882" width="10.33203125" style="325" customWidth="1"/>
    <col min="14883" max="15104" width="9" style="325" customWidth="1"/>
    <col min="15105" max="15105" width="60.33203125" style="325" customWidth="1"/>
    <col min="15106" max="15106" width="2.77734375" style="325" customWidth="1"/>
    <col min="15107" max="15107" width="14.77734375" style="325" customWidth="1"/>
    <col min="15108" max="15108" width="13.77734375" style="325" bestFit="1" customWidth="1"/>
    <col min="15109" max="15109" width="15.33203125" style="325" customWidth="1"/>
    <col min="15110" max="15110" width="14.21875" style="325" customWidth="1"/>
    <col min="15111" max="15111" width="15.21875" style="325" customWidth="1"/>
    <col min="15112" max="15112" width="13.33203125" style="325" customWidth="1"/>
    <col min="15113" max="15113" width="17.33203125" style="325" customWidth="1"/>
    <col min="15114" max="15114" width="15.21875" style="325" customWidth="1"/>
    <col min="15115" max="15115" width="19.6640625" style="325" customWidth="1"/>
    <col min="15116" max="15118" width="16" style="325" customWidth="1"/>
    <col min="15119" max="15119" width="14.77734375" style="325" customWidth="1"/>
    <col min="15120" max="15120" width="17.33203125" style="325" customWidth="1"/>
    <col min="15121" max="15121" width="14.77734375" style="325" customWidth="1"/>
    <col min="15122" max="15130" width="9" style="325" customWidth="1"/>
    <col min="15131" max="15131" width="7.21875" style="325" bestFit="1" customWidth="1"/>
    <col min="15132" max="15133" width="9" style="325" customWidth="1"/>
    <col min="15134" max="15138" width="10.33203125" style="325" customWidth="1"/>
    <col min="15139" max="15360" width="9" style="325" customWidth="1"/>
    <col min="15361" max="15361" width="60.33203125" style="325" customWidth="1"/>
    <col min="15362" max="15362" width="2.77734375" style="325" customWidth="1"/>
    <col min="15363" max="15363" width="14.77734375" style="325" customWidth="1"/>
    <col min="15364" max="15364" width="13.77734375" style="325" bestFit="1" customWidth="1"/>
    <col min="15365" max="15365" width="15.33203125" style="325" customWidth="1"/>
    <col min="15366" max="15366" width="14.21875" style="325" customWidth="1"/>
    <col min="15367" max="15367" width="15.21875" style="325" customWidth="1"/>
    <col min="15368" max="15368" width="13.33203125" style="325" customWidth="1"/>
    <col min="15369" max="15369" width="17.33203125" style="325" customWidth="1"/>
    <col min="15370" max="15370" width="15.21875" style="325" customWidth="1"/>
    <col min="15371" max="15371" width="19.6640625" style="325" customWidth="1"/>
    <col min="15372" max="15374" width="16" style="325" customWidth="1"/>
    <col min="15375" max="15375" width="14.77734375" style="325" customWidth="1"/>
    <col min="15376" max="15376" width="17.33203125" style="325" customWidth="1"/>
    <col min="15377" max="15377" width="14.77734375" style="325" customWidth="1"/>
    <col min="15378" max="15386" width="9" style="325" customWidth="1"/>
    <col min="15387" max="15387" width="7.21875" style="325" bestFit="1" customWidth="1"/>
    <col min="15388" max="15389" width="9" style="325" customWidth="1"/>
    <col min="15390" max="15394" width="10.33203125" style="325" customWidth="1"/>
    <col min="15395" max="15616" width="9" style="325" customWidth="1"/>
    <col min="15617" max="15617" width="60.33203125" style="325" customWidth="1"/>
    <col min="15618" max="15618" width="2.77734375" style="325" customWidth="1"/>
    <col min="15619" max="15619" width="14.77734375" style="325" customWidth="1"/>
    <col min="15620" max="15620" width="13.77734375" style="325" bestFit="1" customWidth="1"/>
    <col min="15621" max="15621" width="15.33203125" style="325" customWidth="1"/>
    <col min="15622" max="15622" width="14.21875" style="325" customWidth="1"/>
    <col min="15623" max="15623" width="15.21875" style="325" customWidth="1"/>
    <col min="15624" max="15624" width="13.33203125" style="325" customWidth="1"/>
    <col min="15625" max="15625" width="17.33203125" style="325" customWidth="1"/>
    <col min="15626" max="15626" width="15.21875" style="325" customWidth="1"/>
    <col min="15627" max="15627" width="19.6640625" style="325" customWidth="1"/>
    <col min="15628" max="15630" width="16" style="325" customWidth="1"/>
    <col min="15631" max="15631" width="14.77734375" style="325" customWidth="1"/>
    <col min="15632" max="15632" width="17.33203125" style="325" customWidth="1"/>
    <col min="15633" max="15633" width="14.77734375" style="325" customWidth="1"/>
    <col min="15634" max="15642" width="9" style="325" customWidth="1"/>
    <col min="15643" max="15643" width="7.21875" style="325" bestFit="1" customWidth="1"/>
    <col min="15644" max="15645" width="9" style="325" customWidth="1"/>
    <col min="15646" max="15650" width="10.33203125" style="325" customWidth="1"/>
    <col min="15651" max="15872" width="9" style="325" customWidth="1"/>
    <col min="15873" max="15873" width="60.33203125" style="325" customWidth="1"/>
    <col min="15874" max="15874" width="2.77734375" style="325" customWidth="1"/>
    <col min="15875" max="15875" width="14.77734375" style="325" customWidth="1"/>
    <col min="15876" max="15876" width="13.77734375" style="325" bestFit="1" customWidth="1"/>
    <col min="15877" max="15877" width="15.33203125" style="325" customWidth="1"/>
    <col min="15878" max="15878" width="14.21875" style="325" customWidth="1"/>
    <col min="15879" max="15879" width="15.21875" style="325" customWidth="1"/>
    <col min="15880" max="15880" width="13.33203125" style="325" customWidth="1"/>
    <col min="15881" max="15881" width="17.33203125" style="325" customWidth="1"/>
    <col min="15882" max="15882" width="15.21875" style="325" customWidth="1"/>
    <col min="15883" max="15883" width="19.6640625" style="325" customWidth="1"/>
    <col min="15884" max="15886" width="16" style="325" customWidth="1"/>
    <col min="15887" max="15887" width="14.77734375" style="325" customWidth="1"/>
    <col min="15888" max="15888" width="17.33203125" style="325" customWidth="1"/>
    <col min="15889" max="15889" width="14.77734375" style="325" customWidth="1"/>
    <col min="15890" max="15898" width="9" style="325" customWidth="1"/>
    <col min="15899" max="15899" width="7.21875" style="325" bestFit="1" customWidth="1"/>
    <col min="15900" max="15901" width="9" style="325" customWidth="1"/>
    <col min="15902" max="15906" width="10.33203125" style="325" customWidth="1"/>
    <col min="15907" max="16128" width="9" style="325" customWidth="1"/>
    <col min="16129" max="16129" width="60.33203125" style="325" customWidth="1"/>
    <col min="16130" max="16130" width="2.77734375" style="325" customWidth="1"/>
    <col min="16131" max="16131" width="14.77734375" style="325" customWidth="1"/>
    <col min="16132" max="16132" width="13.77734375" style="325" bestFit="1" customWidth="1"/>
    <col min="16133" max="16133" width="15.33203125" style="325" customWidth="1"/>
    <col min="16134" max="16134" width="14.21875" style="325" customWidth="1"/>
    <col min="16135" max="16135" width="15.21875" style="325" customWidth="1"/>
    <col min="16136" max="16136" width="13.33203125" style="325" customWidth="1"/>
    <col min="16137" max="16137" width="17.33203125" style="325" customWidth="1"/>
    <col min="16138" max="16138" width="15.21875" style="325" customWidth="1"/>
    <col min="16139" max="16139" width="19.6640625" style="325" customWidth="1"/>
    <col min="16140" max="16142" width="16" style="325" customWidth="1"/>
    <col min="16143" max="16143" width="14.77734375" style="325" customWidth="1"/>
    <col min="16144" max="16144" width="17.33203125" style="325" customWidth="1"/>
    <col min="16145" max="16145" width="14.77734375" style="325" customWidth="1"/>
    <col min="16146" max="16154" width="9" style="325" customWidth="1"/>
    <col min="16155" max="16155" width="7.21875" style="325" bestFit="1" customWidth="1"/>
    <col min="16156" max="16157" width="9" style="325" customWidth="1"/>
    <col min="16158" max="16162" width="10.33203125" style="325" customWidth="1"/>
    <col min="16163" max="16384" width="9" style="325" customWidth="1"/>
  </cols>
  <sheetData>
    <row r="1" spans="1:27" x14ac:dyDescent="0.25">
      <c r="A1" s="324" t="s">
        <v>0</v>
      </c>
      <c r="B1" s="933" t="str">
        <f>'Cover Page'!D1</f>
        <v>Highland Prep West</v>
      </c>
      <c r="C1" s="933"/>
      <c r="D1" s="933"/>
      <c r="E1" s="933"/>
      <c r="G1" s="324" t="s">
        <v>1</v>
      </c>
      <c r="H1" s="933" t="str">
        <f>'Cover Page'!M1</f>
        <v>Maricopa</v>
      </c>
      <c r="I1" s="933"/>
      <c r="K1" s="324" t="s">
        <v>2</v>
      </c>
      <c r="L1" s="327" t="str">
        <f>'Cover Page'!R1</f>
        <v>078419000</v>
      </c>
      <c r="M1" s="328"/>
      <c r="N1" s="328"/>
      <c r="O1" s="329"/>
      <c r="P1" s="330"/>
    </row>
    <row r="2" spans="1:27" x14ac:dyDescent="0.25">
      <c r="A2" s="324"/>
      <c r="B2" s="324"/>
      <c r="C2" s="334"/>
      <c r="D2" s="328"/>
      <c r="E2" s="335"/>
      <c r="F2" s="335"/>
      <c r="G2" s="335"/>
      <c r="H2" s="324"/>
      <c r="I2" s="328"/>
      <c r="J2" s="328"/>
      <c r="K2" s="328"/>
      <c r="L2" s="335"/>
      <c r="M2" s="328"/>
      <c r="N2" s="328"/>
      <c r="O2" s="329"/>
      <c r="P2" s="329"/>
      <c r="Q2" s="336"/>
    </row>
    <row r="3" spans="1:27" x14ac:dyDescent="0.25">
      <c r="A3" s="664" t="s">
        <v>726</v>
      </c>
      <c r="B3"/>
      <c r="C3" t="s">
        <v>416</v>
      </c>
      <c r="D3" s="563"/>
      <c r="E3" s="563"/>
      <c r="F3" s="563"/>
      <c r="G3" s="563"/>
      <c r="H3" s="563"/>
      <c r="I3" s="563"/>
      <c r="J3" s="563"/>
      <c r="K3" s="563"/>
      <c r="L3" s="563"/>
      <c r="M3" s="563"/>
      <c r="N3" s="329"/>
    </row>
    <row r="4" spans="1:27" ht="24" customHeight="1" x14ac:dyDescent="0.25">
      <c r="L4" s="329"/>
      <c r="M4" s="563"/>
      <c r="N4" s="563"/>
    </row>
    <row r="5" spans="1:27" x14ac:dyDescent="0.25">
      <c r="A5" s="920"/>
      <c r="B5" s="36"/>
      <c r="C5" s="337"/>
      <c r="D5" s="922" t="s">
        <v>351</v>
      </c>
      <c r="E5" s="923"/>
      <c r="F5" s="923"/>
      <c r="G5" s="923"/>
      <c r="H5" s="923"/>
      <c r="I5" s="923"/>
      <c r="J5" s="923"/>
      <c r="K5" s="923"/>
      <c r="L5" s="924"/>
      <c r="M5" s="338" t="s">
        <v>417</v>
      </c>
      <c r="N5" s="925" t="s">
        <v>283</v>
      </c>
    </row>
    <row r="6" spans="1:27" x14ac:dyDescent="0.25">
      <c r="A6" s="921"/>
      <c r="D6" s="339"/>
      <c r="E6" s="340"/>
      <c r="F6" s="340" t="s">
        <v>150</v>
      </c>
      <c r="G6" s="340"/>
      <c r="H6" s="340"/>
      <c r="I6" s="340"/>
      <c r="J6" s="340"/>
      <c r="K6" s="340" t="s">
        <v>94</v>
      </c>
      <c r="L6" s="341"/>
      <c r="N6" s="926"/>
    </row>
    <row r="7" spans="1:27" x14ac:dyDescent="0.25">
      <c r="D7" s="342"/>
      <c r="E7" s="343" t="s">
        <v>85</v>
      </c>
      <c r="F7" s="343" t="s">
        <v>92</v>
      </c>
      <c r="G7" s="343"/>
      <c r="H7" s="343" t="s">
        <v>352</v>
      </c>
      <c r="I7" s="343" t="s">
        <v>418</v>
      </c>
      <c r="J7" s="343"/>
      <c r="K7" s="344" t="s">
        <v>353</v>
      </c>
      <c r="L7" s="345"/>
      <c r="M7" s="346" t="s">
        <v>419</v>
      </c>
      <c r="N7" s="926"/>
    </row>
    <row r="8" spans="1:27" ht="12" customHeight="1" x14ac:dyDescent="0.25">
      <c r="A8" s="928" t="s">
        <v>420</v>
      </c>
      <c r="B8" s="928"/>
      <c r="C8" s="929"/>
      <c r="D8" s="343" t="s">
        <v>90</v>
      </c>
      <c r="E8" s="347" t="s">
        <v>91</v>
      </c>
      <c r="F8" s="347" t="s">
        <v>354</v>
      </c>
      <c r="G8" s="347" t="s">
        <v>93</v>
      </c>
      <c r="H8" s="347" t="s">
        <v>355</v>
      </c>
      <c r="I8" s="347" t="s">
        <v>421</v>
      </c>
      <c r="J8" s="347" t="s">
        <v>356</v>
      </c>
      <c r="K8" s="344" t="s">
        <v>422</v>
      </c>
      <c r="L8" s="348" t="s">
        <v>358</v>
      </c>
      <c r="M8" s="346" t="s">
        <v>423</v>
      </c>
      <c r="N8" s="926"/>
    </row>
    <row r="9" spans="1:27" x14ac:dyDescent="0.25">
      <c r="A9" s="930"/>
      <c r="B9" s="930"/>
      <c r="C9" s="931"/>
      <c r="D9" s="349">
        <v>6100</v>
      </c>
      <c r="E9" s="349">
        <v>6200</v>
      </c>
      <c r="F9" s="349">
        <v>6500</v>
      </c>
      <c r="G9" s="349">
        <v>6600</v>
      </c>
      <c r="H9" s="349">
        <v>6810</v>
      </c>
      <c r="I9" s="349">
        <v>6820</v>
      </c>
      <c r="J9" s="349">
        <v>6890</v>
      </c>
      <c r="K9" s="349" t="s">
        <v>424</v>
      </c>
      <c r="L9" s="348" t="s">
        <v>361</v>
      </c>
      <c r="M9" s="350" t="s">
        <v>425</v>
      </c>
      <c r="N9" s="927"/>
    </row>
    <row r="10" spans="1:27" ht="12.75" customHeight="1" x14ac:dyDescent="0.25">
      <c r="A10" s="351" t="s">
        <v>197</v>
      </c>
      <c r="B10" s="352"/>
      <c r="C10" s="353" t="s">
        <v>24</v>
      </c>
      <c r="D10" s="354">
        <f t="array" ref="D10">SUM(SUMIFS('Accounting data'!G2:G65536,'Accounting data'!H2:H65536,"1310-1399-C*",'Accounting data'!I2:I65536,{"1*","2*","3*","4*","5*","6*"},'Accounting data'!J2:J65536,"1*",'Accounting data'!K2:K65536,"61*"))+SUM(SUMIFS('Accounting data'!G2:G65536,'Accounting data'!H2:H65536,"1227*",'Accounting data'!I2:I65536,{"1*","2*","3*","4*","5*","6*"},'Accounting data'!J2:J65536,"1*",'Accounting data'!K2:K65536,"61*"))+SUM(SUMIFS('Accounting data'!G2:G65536,'Accounting data'!H2:H65536,"1228*",'Accounting data'!I2:I65536,{"1*","2*","3*","4*","5*","6*"},'Accounting data'!J2:J65536,"1*",'Accounting data'!K2:K65536,"61*"))</f>
        <v>0</v>
      </c>
      <c r="E10" s="354">
        <f t="array" ref="E10">SUM(SUMIFS('Accounting data'!G2:G65536,'Accounting data'!H2:H65536,"1310-1399-C*",'Accounting data'!I2:I65536,{"1*","2*","3*","4*","5*","6*"},'Accounting data'!J2:J65536,"1*",'Accounting data'!K2:K65536,"62*"))+SUM(SUMIFS('Accounting data'!G2:G65536,'Accounting data'!H2:H65536,"1227*",'Accounting data'!I2:I65536,{"1*","2*","3*","4*","5*","6*"},'Accounting data'!J2:J65536,"1*",'Accounting data'!K2:K65536,"62*"))+SUM(SUMIFS('Accounting data'!G2:G65536,'Accounting data'!H2:H65536,"1228*",'Accounting data'!I2:I65536,{"1*","2*","3*","4*","5*","6*"},'Accounting data'!J2:J65536,"1*",'Accounting data'!K2:K65536,"62*"))</f>
        <v>0</v>
      </c>
      <c r="F10" s="354">
        <f t="array" ref="F10">SUM(SUMIFS('Accounting data'!G2:G65536,'Accounting data'!H2:H65536,"1310-1399-C*",'Accounting data'!I2:I65536,{"1*","2*","3*","4*","5*","6*"},'Accounting data'!J2:J65536,"1*",'Accounting data'!K2:K65536,"63*"))+SUM(SUMIFS('Accounting data'!G2:G65536,'Accounting data'!H2:H65536,"1227*",'Accounting data'!I2:I65536,{"1*","2*","3*","4*","5*","6*"},'Accounting data'!J2:J65536,"1*",'Accounting data'!K2:K65536,"63*"))+SUM(SUMIFS('Accounting data'!G2:G65536,'Accounting data'!H2:H65536,"1228*",'Accounting data'!I2:I65536,{"1*","2*","3*","4*","5*","6*"},'Accounting data'!J2:J65536,"1*",'Accounting data'!K2:K65536,"63*"))</f>
        <v>0</v>
      </c>
      <c r="G10" s="354">
        <f t="array" ref="G10">SUM(SUMIFS('Accounting data'!G2:G65536,'Accounting data'!H2:H65536,"1310-1399-C*",'Accounting data'!I2:I65536,{"1*","2*","3*","4*","5*","6*"},'Accounting data'!J2:J65536,"1*",'Accounting data'!K2:K65536,"66*"))+SUM(SUMIFS('Accounting data'!G2:G65536,'Accounting data'!H2:H65536,"1227*",'Accounting data'!I2:I65536,{"1*","2*","3*","4*","5*","6*"},'Accounting data'!J2:J65536,"1*",'Accounting data'!K2:K65536,"66*"))+SUM(SUMIFS('Accounting data'!G2:G65536,'Accounting data'!H2:H65536,"1228*",'Accounting data'!I2:I65536,{"1*","2*","3*","4*","5*","6*"},'Accounting data'!J2:J65536,"1*",'Accounting data'!K2:K65536,"66*"))</f>
        <v>0</v>
      </c>
      <c r="H10" s="354">
        <f t="array" ref="H10">SUM(SUMIFS('Accounting data'!G2:G65536,'Accounting data'!H2:H65536,"1310-1399-C*",'Accounting data'!I2:I65536,{"1*","2*","3*","4*","5*","6*"},'Accounting data'!J2:J65536,"1*",'Accounting data'!K2:K65536,"681*"))+SUM(SUMIFS('Accounting data'!G2:G65536,'Accounting data'!H2:H65536,"1227*",'Accounting data'!I2:I65536,{"1*","2*","3*","4*","5*","6*"},'Accounting data'!J2:J65536,"1*",'Accounting data'!K2:K65536,"681*"))+SUM(SUMIFS('Accounting data'!G2:G65536,'Accounting data'!H2:H65536,"1228*",'Accounting data'!I2:I65536,{"1*","2*","3*","4*","5*","6*"},'Accounting data'!J2:J65536,"1*",'Accounting data'!K2:K65536,"681*"))</f>
        <v>0</v>
      </c>
      <c r="I10" s="355"/>
      <c r="J10" s="354">
        <f t="array" ref="J10">SUM(SUMIFS('Accounting data'!G2:G65536,'Accounting data'!H2:H65536,"1310-1399-C*",'Accounting data'!I2:I65536,{"1*","2*","3*","4*","5*","6*"},'Accounting data'!J2:J65536,"1*",'Accounting data'!K2:K65536,"689*"))+SUM(SUMIFS('Accounting data'!G2:G65536,'Accounting data'!H2:H65536,"1227*",'Accounting data'!I2:I65536,{"1*","2*","3*","4*","5*","6*"},'Accounting data'!J2:J65536,"1*",'Accounting data'!K2:K65536,"689*"))+SUM(SUMIFS('Accounting data'!G2:G65536,'Accounting data'!H2:H65536,"1228*",'Accounting data'!I2:I65536,{"1*","2*","3*","4*","5*","6*"},'Accounting data'!J2:J65536,"1*",'Accounting data'!K2:K65536,"689*"))</f>
        <v>0</v>
      </c>
      <c r="K10" s="354">
        <f t="array" ref="K10">SUM(SUMIFS('Accounting data'!G2:G65536,'Accounting data'!H2:H65536,"1310-1399-C*",'Accounting data'!I2:I65536,{"1*","2*","3*","4*","5*","6*"},'Accounting data'!J2:J65536,"1*",'Accounting data'!K2:K65536,"683*"))+SUM(SUMIFS('Accounting data'!G2:G65536,'Accounting data'!H2:H65536,"1227*",'Accounting data'!I2:I65536,{"1*","2*","3*","4*","5*","6*"},'Accounting data'!J2:J65536,"1*",'Accounting data'!K2:K65536,"683*"))+SUM(SUMIFS('Accounting data'!G2:G65536,'Accounting data'!H2:H65536,"1228*",'Accounting data'!I2:I65536,{"1*","2*","3*","4*","5*","6*"},'Accounting data'!J2:J65536,"1*",'Accounting data'!K2:K65536,"683*"))</f>
        <v>0</v>
      </c>
      <c r="L10" s="37"/>
      <c r="M10" s="354">
        <f t="array" ref="M10">SUM(SUMIFS('Accounting data'!G2:G65536,'Accounting data'!H2:H65536,"1310-1399-C*",'Accounting data'!I2:I65536,{"7*","8*","9*"},'Accounting data'!J2:J65536,"1*",'Accounting data'!K2:K65536,"6*"))-SUM(SUMIFS('Accounting data'!G2:G65536,'Accounting data'!H2:H65536,"1310-1399-C*",'Accounting data'!I2:I65536,{"7*","8*","9*"},'Accounting data'!J2:J65536,"1*",'Accounting data'!K2:K65536,"69*"))+SUM(SUMIFS('Accounting data'!G2:G65536,'Accounting data'!H2:H65536,"1227*",'Accounting data'!I2:I65536,{"7*","8*","9*"},'Accounting data'!J2:J65536,"1*",'Accounting data'!K2:K65536,"6*"))-SUM(SUMIFS('Accounting data'!G2:G65536,'Accounting data'!H2:H65536,"1227*",'Accounting data'!I2:I65536,{"7*","8*","9*"},'Accounting data'!J2:J65536,"1*",'Accounting data'!K2:K65536,"69*"))+SUM(SUMIFS('Accounting data'!G2:G65536,'Accounting data'!H2:H65536,"1228*",'Accounting data'!I2:I65536,{"7*","8*","9*"},'Accounting data'!J2:J65536,"1*",'Accounting data'!K2:K65536,"6*"))-SUM(SUMIFS('Accounting data'!G2:G65536,'Accounting data'!H2:H65536,"1228*",'Accounting data'!I2:I65536,{"7*","8*","9*"},'Accounting data'!J2:J65536,"1*",'Accounting data'!K2:K65536,"69*"))</f>
        <v>0</v>
      </c>
      <c r="N10" s="356">
        <f t="shared" ref="N10:N19" si="0">ROUND(SUM(D10:M10),0)</f>
        <v>0</v>
      </c>
      <c r="O10" s="357"/>
    </row>
    <row r="11" spans="1:27" x14ac:dyDescent="0.25">
      <c r="A11" s="358" t="s">
        <v>426</v>
      </c>
      <c r="B11" s="586"/>
      <c r="C11" s="359" t="s">
        <v>26</v>
      </c>
      <c r="D11" s="354">
        <f t="array" ref="D11">SUM(SUMIFS('Accounting data'!G2:G65536,'Accounting data'!H2:H65536,"1310-1399-C*",'Accounting data'!I2:I65536,{"1*","2*","3*","4*","5*","6*"},'Accounting data'!J2:J65536,"21*",'Accounting data'!K2:K65536,"61*"))+SUM(SUMIFS('Accounting data'!G2:G65536,'Accounting data'!H2:H65536,"1310-1399-C*",'Accounting data'!I2:I65536,{"1*","2*","3*","4*","5*","6*"},'Accounting data'!J2:J65536,"22*",'Accounting data'!K2:K65536,"61*"))+SUM(SUMIFS('Accounting data'!G2:G65536,'Accounting data'!H2:H65536,"1227*",'Accounting data'!I2:I65536,{"1*","2*","3*","4*","5*","6*"},'Accounting data'!J2:J65536,"21*",'Accounting data'!K2:K65536,"61*"))+SUM(SUMIFS('Accounting data'!G2:G65536,'Accounting data'!H2:H65536,"1227*",'Accounting data'!I2:I65536,{"1*","2*","3*","4*","5*","6*"},'Accounting data'!J2:J65536,"22*",'Accounting data'!K2:K65536,"61*"))+SUM(SUMIFS('Accounting data'!G2:G65536,'Accounting data'!H2:H65536,"1228*",'Accounting data'!I2:I65536,{"1*","2*","3*","4*","5*","6*"},'Accounting data'!J2:J65536,"21*",'Accounting data'!K2:K65536,"61*"))+SUM(SUMIFS('Accounting data'!G2:G65536,'Accounting data'!H2:H65536,"1228*",'Accounting data'!I2:I65536,{"1*","2*","3*","4*","5*","6*"},'Accounting data'!J2:J65536,"22*",'Accounting data'!K2:K65536,"61*"))</f>
        <v>0</v>
      </c>
      <c r="E11" s="354">
        <f t="array" ref="E11">SUM(SUMIFS('Accounting data'!G2:G65536,'Accounting data'!H2:H65536,"1310-1399-C*",'Accounting data'!I2:I65536,{"1*","2*","3*","4*","5*","6*"},'Accounting data'!J2:J65536,"21*",'Accounting data'!K2:K65536,"62*"))+SUM(SUMIFS('Accounting data'!G2:G65536,'Accounting data'!H2:H65536,"1310-1399-C*",'Accounting data'!I2:I65536,{"1*","2*","3*","4*","5*","6*"},'Accounting data'!J2:J65536,"22*",'Accounting data'!K2:K65536,"62*"))+SUM(SUMIFS('Accounting data'!G2:G65536,'Accounting data'!H2:H65536,"1227*",'Accounting data'!I2:I65536,{"1*","2*","3*","4*","5*","6*"},'Accounting data'!J2:J65536,"21*",'Accounting data'!K2:K65536,"62*"))+SUM(SUMIFS('Accounting data'!G2:G65536,'Accounting data'!H2:H65536,"1227*",'Accounting data'!I2:I65536,{"1*","2*","3*","4*","5*","6*"},'Accounting data'!J2:J65536,"22*",'Accounting data'!K2:K65536,"62*"))+SUM(SUMIFS('Accounting data'!G2:G65536,'Accounting data'!H2:H65536,"1228*",'Accounting data'!I2:I65536,{"1*","2*","3*","4*","5*","6*"},'Accounting data'!J2:J65536,"21*",'Accounting data'!K2:K65536,"62*"))+SUM(SUMIFS('Accounting data'!G2:G65536,'Accounting data'!H2:H65536,"1228*",'Accounting data'!I2:I65536,{"1*","2*","3*","4*","5*","6*"},'Accounting data'!J2:J65536,"22*",'Accounting data'!K2:K65536,"62*"))</f>
        <v>0</v>
      </c>
      <c r="F11" s="354">
        <f t="array" ref="F11">SUM(SUMIFS('Accounting data'!G2:G65536,'Accounting data'!H2:H65536,"1310-1399-C*",'Accounting data'!I2:I65536,{"1*","2*","3*","4*","5*","6*"},'Accounting data'!J2:J65536,"21*",'Accounting data'!K2:K65536,"63*"))+SUM(SUMIFS('Accounting data'!G2:G65536,'Accounting data'!H2:H65536,"1310-1399-C*",'Accounting data'!I2:I65536,{"1*","2*","3*","4*","5*","6*"},'Accounting data'!J2:J65536,"22*",'Accounting data'!K2:K65536,"63*"))+SUM(SUMIFS('Accounting data'!G2:G65536,'Accounting data'!H2:H65536,"1227*",'Accounting data'!I2:I65536,{"1*","2*","3*","4*","5*","6*"},'Accounting data'!J2:J65536,"21*",'Accounting data'!K2:K65536,"63*"))+SUM(SUMIFS('Accounting data'!G2:G65536,'Accounting data'!H2:H65536,"1227*",'Accounting data'!I2:I65536,{"1*","2*","3*","4*","5*","6*"},'Accounting data'!J2:J65536,"22*",'Accounting data'!K2:K65536,"63*"))+SUM(SUMIFS('Accounting data'!G2:G65536,'Accounting data'!H2:H65536,"1228*",'Accounting data'!I2:I65536,{"1*","2*","3*","4*","5*","6*"},'Accounting data'!J2:J65536,"21*",'Accounting data'!K2:K65536,"63*"))+SUM(SUMIFS('Accounting data'!G2:G65536,'Accounting data'!H2:H65536,"1228*",'Accounting data'!I2:I65536,{"1*","2*","3*","4*","5*","6*"},'Accounting data'!J2:J65536,"22*",'Accounting data'!K2:K65536,"63*"))</f>
        <v>0</v>
      </c>
      <c r="G11" s="354">
        <f t="array" ref="G11">SUM(SUMIFS('Accounting data'!G2:G65536,'Accounting data'!H2:H65536,"1310-1399-C*",'Accounting data'!I2:I65536,{"1*","2*","3*","4*","5*","6*"},'Accounting data'!J2:J65536,"21*",'Accounting data'!K2:K65536,"66*"))+SUM(SUMIFS('Accounting data'!G2:G65536,'Accounting data'!H2:H65536,"1310-1399-C*",'Accounting data'!I2:I65536,{"1*","2*","3*","4*","5*","6*"},'Accounting data'!J2:J65536,"22*",'Accounting data'!K2:K65536,"66*"))+SUM(SUMIFS('Accounting data'!G2:G65536,'Accounting data'!H2:H65536,"1227*",'Accounting data'!I2:I65536,{"1*","2*","3*","4*","5*","6*"},'Accounting data'!J2:J65536,"21*",'Accounting data'!K2:K65536,"66*"))+SUM(SUMIFS('Accounting data'!G2:G65536,'Accounting data'!H2:H65536,"1227*",'Accounting data'!I2:I65536,{"1*","2*","3*","4*","5*","6*"},'Accounting data'!J2:J65536,"22*",'Accounting data'!K2:K65536,"66*"))+SUM(SUMIFS('Accounting data'!G2:G65536,'Accounting data'!H2:H65536,"1228*",'Accounting data'!I2:I65536,{"1*","2*","3*","4*","5*","6*"},'Accounting data'!J2:J65536,"21*",'Accounting data'!K2:K65536,"66*"))+SUM(SUMIFS('Accounting data'!G2:G65536,'Accounting data'!H2:H65536,"1228*",'Accounting data'!I2:I65536,{"1*","2*","3*","4*","5*","6*"},'Accounting data'!J2:J65536,"22*",'Accounting data'!K2:K65536,"66*"))</f>
        <v>0</v>
      </c>
      <c r="H11" s="354">
        <f t="array" ref="H11">SUM(SUMIFS('Accounting data'!G2:G65536,'Accounting data'!H2:H65536,"1310-1399-C*",'Accounting data'!I2:I65536,{"1*","2*","3*","4*","5*","6*"},'Accounting data'!J2:J65536,"21*",'Accounting data'!K2:K65536,"681*"))+SUM(SUMIFS('Accounting data'!G2:G65536,'Accounting data'!H2:H65536,"1310-1399-C*",'Accounting data'!I2:I65536,{"1*","2*","3*","4*","5*","6*"},'Accounting data'!J2:J65536,"22*",'Accounting data'!K2:K65536,"681*"))+SUM(SUMIFS('Accounting data'!G2:G65536,'Accounting data'!H2:H65536,"1227*",'Accounting data'!I2:I65536,{"1*","2*","3*","4*","5*","6*"},'Accounting data'!J2:J65536,"21*",'Accounting data'!K2:K65536,"681*"))+SUM(SUMIFS('Accounting data'!G2:G65536,'Accounting data'!H2:H65536,"1227*",'Accounting data'!I2:I65536,{"1*","2*","3*","4*","5*","6*"},'Accounting data'!J2:J65536,"22*",'Accounting data'!K2:K65536,"681*"))+SUM(SUMIFS('Accounting data'!G2:G65536,'Accounting data'!H2:H65536,"1228*",'Accounting data'!I2:I65536,{"1*","2*","3*","4*","5*","6*"},'Accounting data'!J2:J65536,"21*",'Accounting data'!K2:K65536,"681*"))+SUM(SUMIFS('Accounting data'!G2:G65536,'Accounting data'!H2:H65536,"1228*",'Accounting data'!I2:I65536,{"1*","2*","3*","4*","5*","6*"},'Accounting data'!J2:J65536,"22*",'Accounting data'!K2:K65536,"681*"))</f>
        <v>0</v>
      </c>
      <c r="I11" s="355"/>
      <c r="J11" s="354">
        <f t="array" ref="J11">SUM(SUMIFS('Accounting data'!G2:G65536,'Accounting data'!H2:H65536,"1310-1399-C*",'Accounting data'!I2:I65536,{"1*","2*","3*","4*","5*","6*"},'Accounting data'!J2:J65536,"21*",'Accounting data'!K2:K65536,"689*"))+SUM(SUMIFS('Accounting data'!G2:G65536,'Accounting data'!H2:H65536,"1310-1399-C*",'Accounting data'!I2:I65536,{"1*","2*","3*","4*","5*","6*"},'Accounting data'!J2:J65536,"22*",'Accounting data'!K2:K65536,"689*"))+SUM(SUMIFS('Accounting data'!G2:G65536,'Accounting data'!H2:H65536,"1227*",'Accounting data'!I2:I65536,{"1*","2*","3*","4*","5*","6*"},'Accounting data'!J2:J65536,"21*",'Accounting data'!K2:K65536,"689*"))+SUM(SUMIFS('Accounting data'!G2:G65536,'Accounting data'!H2:H65536,"1227*",'Accounting data'!I2:I65536,{"1*","2*","3*","4*","5*","6*"},'Accounting data'!J2:J65536,"22*",'Accounting data'!K2:K65536,"689*"))+SUM(SUMIFS('Accounting data'!G2:G65536,'Accounting data'!H2:H65536,"1228*",'Accounting data'!I2:I65536,{"1*","2*","3*","4*","5*","6*"},'Accounting data'!J2:J65536,"21*",'Accounting data'!K2:K65536,"689*"))+SUM(SUMIFS('Accounting data'!G2:G65536,'Accounting data'!H2:H65536,"1228*",'Accounting data'!I2:I65536,{"1*","2*","3*","4*","5*","6*"},'Accounting data'!J2:J65536,"22*",'Accounting data'!K2:K65536,"689*"))</f>
        <v>0</v>
      </c>
      <c r="K11" s="354">
        <f t="array" ref="K11">SUM(SUMIFS('Accounting data'!G2:G65536,'Accounting data'!H2:H65536,"1310-1399-C*",'Accounting data'!I2:I65536,{"1*","2*","3*","4*","5*","6*"},'Accounting data'!J2:J65536,"21*",'Accounting data'!K2:K65536,"683*"))+SUM(SUMIFS('Accounting data'!G2:G65536,'Accounting data'!H2:H65536,"1310-1399-C*",'Accounting data'!I2:I65536,{"1*","2*","3*","4*","5*","6*"},'Accounting data'!J2:J65536,"22*",'Accounting data'!K2:K65536,"683*"))+SUM(SUMIFS('Accounting data'!G2:G65536,'Accounting data'!H2:H65536,"1227*",'Accounting data'!I2:I65536,{"1*","2*","3*","4*","5*","6*"},'Accounting data'!J2:J65536,"21*",'Accounting data'!K2:K65536,"683*"))+SUM(SUMIFS('Accounting data'!G2:G65536,'Accounting data'!H2:H65536,"1227*",'Accounting data'!I2:I65536,{"1*","2*","3*","4*","5*","6*"},'Accounting data'!J2:J65536,"22*",'Accounting data'!K2:K65536,"683*"))+SUM(SUMIFS('Accounting data'!G2:G65536,'Accounting data'!H2:H65536,"1228*",'Accounting data'!I2:I65536,{"1*","2*","3*","4*","5*","6*"},'Accounting data'!J2:J65536,"21*",'Accounting data'!K2:K65536,"683*"))+SUM(SUMIFS('Accounting data'!G2:G65536,'Accounting data'!H2:H65536,"1228*",'Accounting data'!I2:I65536,{"1*","2*","3*","4*","5*","6*"},'Accounting data'!J2:J65536,"22*",'Accounting data'!K2:K65536,"683*"))</f>
        <v>0</v>
      </c>
      <c r="L11" s="37"/>
      <c r="M11" s="354">
        <f t="array" ref="M11">(SUM(SUMIFS('Accounting data'!G2:G65536,'Accounting data'!H2:H65536,"1310-1399-C*",'Accounting data'!I2:I65536,{"7*","8*","9*"},'Accounting data'!J2:J65536,"21*",'Accounting data'!K2:K65536,"6*"))+SUM(SUMIFS('Accounting data'!G2:G65536,'Accounting data'!H2:H65536,"1310-1399-C*",'Accounting data'!I2:I65536,{"7*","8*","9*"},'Accounting data'!J2:J65536,"22*",'Accounting data'!K2:K65536,"6*")))-(SUM(SUMIFS('Accounting data'!G2:G65536,'Accounting data'!H2:H65536,"1310-1399-C*",'Accounting data'!I2:I65536,{"7*","8*","9*"},'Accounting data'!J2:J65536,"21*",'Accounting data'!K2:K65536,"69*"))+SUM(SUMIFS('Accounting data'!G2:G65536,'Accounting data'!H2:H65536,"1310-1399-C*",'Accounting data'!I2:I65536,{"7*","8*","9*"},'Accounting data'!J2:J65536,"22*",'Accounting data'!K2:K65536,"69*")))+(SUM(SUMIFS('Accounting data'!G2:G65536,'Accounting data'!H2:H65536,"1227*",'Accounting data'!I2:I65536,{"7*","8*","9*"},'Accounting data'!J2:J65536,"21*",'Accounting data'!K2:K65536,"6*"))+SUM(SUMIFS('Accounting data'!G2:G65536,'Accounting data'!H2:H65536,"1227*",'Accounting data'!I2:I65536,{"7*","8*","9*"},'Accounting data'!J2:J65536,"22*",'Accounting data'!K2:K65536,"6*")))-(SUM(SUMIFS('Accounting data'!G2:G65536,'Accounting data'!H2:H65536,"1227*",'Accounting data'!I2:I65536,{"7*","8*","9*"},'Accounting data'!J2:J65536,"21*",'Accounting data'!K2:K65536,"69*"))+SUM(SUMIFS('Accounting data'!G2:G65536,'Accounting data'!H2:H65536,"1227*",'Accounting data'!I2:I65536,{"7*","8*","9*"},'Accounting data'!J2:J65536,"22*",'Accounting data'!K2:K65536,"69*")))+(SUM(SUMIFS('Accounting data'!G2:G65536,'Accounting data'!H2:H65536,"1228*",'Accounting data'!I2:I65536,{"7*","8*","9*"},'Accounting data'!J2:J65536,"21*",'Accounting data'!K2:K65536,"6*"))+SUM(SUMIFS('Accounting data'!G2:G65536,'Accounting data'!H2:H65536,"1228*",'Accounting data'!I2:I65536,{"7*","8*","9*"},'Accounting data'!J2:J65536,"22*",'Accounting data'!K2:K65536,"6*")))-(SUM(SUMIFS('Accounting data'!G2:G65536,'Accounting data'!H2:H65536,"1228*",'Accounting data'!I2:I65536,{"7*","8*","9*"},'Accounting data'!J2:J65536,"21*",'Accounting data'!K2:K65536,"69*"))+SUM(SUMIFS('Accounting data'!G2:G65536,'Accounting data'!H2:H65536,"1228*",'Accounting data'!I2:I65536,{"7*","8*","9*"},'Accounting data'!J2:J65536,"22*",'Accounting data'!K2:K65536,"69*")))</f>
        <v>0</v>
      </c>
      <c r="N11" s="356">
        <f t="shared" si="0"/>
        <v>0</v>
      </c>
      <c r="O11" s="357"/>
    </row>
    <row r="12" spans="1:27" x14ac:dyDescent="0.25">
      <c r="A12" s="358" t="s">
        <v>427</v>
      </c>
      <c r="B12" s="586"/>
      <c r="C12" s="359" t="s">
        <v>28</v>
      </c>
      <c r="D12" s="354">
        <f t="array" ref="D12">SUM(SUMIFS('Accounting data'!G2:G65536,'Accounting data'!H2:H65536,"1310-1399-C*",'Accounting data'!I2:I65536,{"1*","2*","3*","4*","5*","6*"},'Accounting data'!J2:J65536,"23*",'Accounting data'!K2:K65536,"61*"))+SUM(SUMIFS('Accounting data'!G2:G65536,'Accounting data'!H2:H65536,"1310-1399-C*",'Accounting data'!I2:I65536,{"1*","2*","3*","4*","5*","6*"},'Accounting data'!J2:J65536,"25*",'Accounting data'!K2:K65536,"61*"))+SUM(SUMIFS('Accounting data'!G2:G65536,'Accounting data'!H2:H65536,"1310-1399-C*",'Accounting data'!I2:I65536,{"1*","2*","3*","4*","5*","6*"},'Accounting data'!J2:J65536,"29*",'Accounting data'!K2:K65536,"61*"))+SUM(SUMIFS('Accounting data'!G2:G65536,'Accounting data'!H2:H65536,"1227*",'Accounting data'!I2:I65536,{"1*","2*","3*","4*","5*","6*"},'Accounting data'!J2:J65536,"23*",'Accounting data'!K2:K65536,"61*"))+SUM(SUMIFS('Accounting data'!G2:G65536,'Accounting data'!H2:H65536,"1227*",'Accounting data'!I2:I65536,{"1*","2*","3*","4*","5*","6*"},'Accounting data'!J2:J65536,"25*",'Accounting data'!K2:K65536,"61*"))+SUM(SUMIFS('Accounting data'!G2:G65536,'Accounting data'!H2:H65536,"1227*",'Accounting data'!I2:I65536,{"1*","2*","3*","4*","5*","6*"},'Accounting data'!J2:J65536,"29*",'Accounting data'!K2:K65536,"61*"))+SUM(SUMIFS('Accounting data'!G2:G65536,'Accounting data'!H2:H65536,"1228*",'Accounting data'!I2:I65536,{"1*","2*","3*","4*","5*","6*"},'Accounting data'!J2:J65536,"23*",'Accounting data'!K2:K65536,"61*"))+SUM(SUMIFS('Accounting data'!G2:G65536,'Accounting data'!H2:H65536,"1228*",'Accounting data'!I2:I65536,{"1*","2*","3*","4*","5*","6*"},'Accounting data'!J2:J65536,"25*",'Accounting data'!K2:K65536,"61*"))+SUM(SUMIFS('Accounting data'!G2:G65536,'Accounting data'!H2:H65536,"1228*",'Accounting data'!I2:I65536,{"1*","2*","3*","4*","5*","6*"},'Accounting data'!J2:J65536,"29*",'Accounting data'!K2:K65536,"61*"))</f>
        <v>0</v>
      </c>
      <c r="E12" s="354">
        <f t="array" ref="E12">SUM(SUMIFS('Accounting data'!G2:G65536,'Accounting data'!H2:H65536,"1310-1399-C*",'Accounting data'!I2:I65536,{"1*","2*","3*","4*","5*","6*"},'Accounting data'!J2:J65536,"23*",'Accounting data'!K2:K65536,"62*"))+SUM(SUMIFS('Accounting data'!G2:G65536,'Accounting data'!H2:H65536,"1310-1399-C*",'Accounting data'!I2:I65536,{"1*","2*","3*","4*","5*","6*"},'Accounting data'!J2:J65536,"25*",'Accounting data'!K2:K65536,"62*"))+SUM(SUMIFS('Accounting data'!G2:G65536,'Accounting data'!H2:H65536,"1310-1399-C*",'Accounting data'!I2:I65536,{"1*","2*","3*","4*","5*","6*"},'Accounting data'!J2:J65536,"29*",'Accounting data'!K2:K65536,"62*"))+SUM(SUMIFS('Accounting data'!G2:G65536,'Accounting data'!H2:H65536,"1227*",'Accounting data'!I2:I65536,{"1*","2*","3*","4*","5*","6*"},'Accounting data'!J2:J65536,"23*",'Accounting data'!K2:K65536,"62*"))+SUM(SUMIFS('Accounting data'!G2:G65536,'Accounting data'!H2:H65536,"1227*",'Accounting data'!I2:I65536,{"1*","2*","3*","4*","5*","6*"},'Accounting data'!J2:J65536,"25*",'Accounting data'!K2:K65536,"62*"))+SUM(SUMIFS('Accounting data'!G2:G65536,'Accounting data'!H2:H65536,"1227*",'Accounting data'!I2:I65536,{"1*","2*","3*","4*","5*","6*"},'Accounting data'!J2:J65536,"29*",'Accounting data'!K2:K65536,"62*"))+SUM(SUMIFS('Accounting data'!G2:G65536,'Accounting data'!H2:H65536,"1228*",'Accounting data'!I2:I65536,{"1*","2*","3*","4*","5*","6*"},'Accounting data'!J2:J65536,"23*",'Accounting data'!K2:K65536,"62*"))+SUM(SUMIFS('Accounting data'!G2:G65536,'Accounting data'!H2:H65536,"1228*",'Accounting data'!I2:I65536,{"1*","2*","3*","4*","5*","6*"},'Accounting data'!J2:J65536,"25*",'Accounting data'!K2:K65536,"62*"))+SUM(SUMIFS('Accounting data'!G2:G65536,'Accounting data'!H2:H65536,"1228*",'Accounting data'!I2:I65536,{"1*","2*","3*","4*","5*","6*"},'Accounting data'!J2:J65536,"29*",'Accounting data'!K2:K65536,"62*"))</f>
        <v>0</v>
      </c>
      <c r="F12" s="354">
        <f t="array" ref="F12">SUM(SUMIFS('Accounting data'!G2:G65536,'Accounting data'!H2:H65536,"1310-1399-C*",'Accounting data'!I2:I65536,{"1*","2*","3*","4*","5*","6*"},'Accounting data'!J2:J65536,"23*",'Accounting data'!K2:K65536,"63*"))+SUM(SUMIFS('Accounting data'!G2:G65536,'Accounting data'!H2:H65536,"1310-1399-C*",'Accounting data'!I2:I65536,{"1*","2*","3*","4*","5*","6*"},'Accounting data'!J2:J65536,"25*",'Accounting data'!K2:K65536,"63*"))+SUM(SUMIFS('Accounting data'!G2:G65536,'Accounting data'!H2:H65536,"1310-1399-C*",'Accounting data'!I2:I65536,{"1*","2*","3*","4*","5*","6*"},'Accounting data'!J2:J65536,"29*",'Accounting data'!K2:K65536,"63*"))+SUM(SUMIFS('Accounting data'!G2:G65536,'Accounting data'!H2:H65536,"1227*",'Accounting data'!I2:I65536,{"1*","2*","3*","4*","5*","6*"},'Accounting data'!J2:J65536,"23*",'Accounting data'!K2:K65536,"63*"))+SUM(SUMIFS('Accounting data'!G2:G65536,'Accounting data'!H2:H65536,"1227*",'Accounting data'!I2:I65536,{"1*","2*","3*","4*","5*","6*"},'Accounting data'!J2:J65536,"25*",'Accounting data'!K2:K65536,"63*"))+SUM(SUMIFS('Accounting data'!G2:G65536,'Accounting data'!H2:H65536,"1227*",'Accounting data'!I2:I65536,{"1*","2*","3*","4*","5*","6*"},'Accounting data'!J2:J65536,"29*",'Accounting data'!K2:K65536,"63*"))+SUM(SUMIFS('Accounting data'!G2:G65536,'Accounting data'!H2:H65536,"1228*",'Accounting data'!I2:I65536,{"1*","2*","3*","4*","5*","6*"},'Accounting data'!J2:J65536,"23*",'Accounting data'!K2:K65536,"63*"))+SUM(SUMIFS('Accounting data'!G2:G65536,'Accounting data'!H2:H65536,"1228*",'Accounting data'!I2:I65536,{"1*","2*","3*","4*","5*","6*"},'Accounting data'!J2:J65536,"25*",'Accounting data'!K2:K65536,"63*"))+SUM(SUMIFS('Accounting data'!G2:G65536,'Accounting data'!H2:H65536,"1228*",'Accounting data'!I2:I65536,{"1*","2*","3*","4*","5*","6*"},'Accounting data'!J2:J65536,"29*",'Accounting data'!K2:K65536,"63*"))</f>
        <v>0</v>
      </c>
      <c r="G12" s="354">
        <f t="array" ref="G12">SUM(SUMIFS('Accounting data'!G2:G65536,'Accounting data'!H2:H65536,"1310-1399-C*",'Accounting data'!I2:I65536,{"1*","2*","3*","4*","5*","6*"},'Accounting data'!J2:J65536,"23*",'Accounting data'!K2:K65536,"66*"))+SUM(SUMIFS('Accounting data'!G2:G65536,'Accounting data'!H2:H65536,"1310-1399-C*",'Accounting data'!I2:I65536,{"1*","2*","3*","4*","5*","6*"},'Accounting data'!J2:J65536,"25*",'Accounting data'!K2:K65536,"66*"))+SUM(SUMIFS('Accounting data'!G2:G65536,'Accounting data'!H2:H65536,"1310-1399-C*",'Accounting data'!I2:I65536,{"1*","2*","3*","4*","5*","6*"},'Accounting data'!J2:J65536,"29*",'Accounting data'!K2:K65536,"66*"))+SUM(SUMIFS('Accounting data'!G2:G65536,'Accounting data'!H2:H65536,"1227*",'Accounting data'!I2:I65536,{"1*","2*","3*","4*","5*","6*"},'Accounting data'!J2:J65536,"23*",'Accounting data'!K2:K65536,"66*"))+SUM(SUMIFS('Accounting data'!G2:G65536,'Accounting data'!H2:H65536,"1227*",'Accounting data'!I2:I65536,{"1*","2*","3*","4*","5*","6*"},'Accounting data'!J2:J65536,"25*",'Accounting data'!K2:K65536,"66*"))+SUM(SUMIFS('Accounting data'!G2:G65536,'Accounting data'!H2:H65536,"1227*",'Accounting data'!I2:I65536,{"1*","2*","3*","4*","5*","6*"},'Accounting data'!J2:J65536,"29*",'Accounting data'!K2:K65536,"66*"))+SUM(SUMIFS('Accounting data'!G2:G65536,'Accounting data'!H2:H65536,"1228*",'Accounting data'!I2:I65536,{"1*","2*","3*","4*","5*","6*"},'Accounting data'!J2:J65536,"23*",'Accounting data'!K2:K65536,"66*"))+SUM(SUMIFS('Accounting data'!G2:G65536,'Accounting data'!H2:H65536,"1228*",'Accounting data'!I2:I65536,{"1*","2*","3*","4*","5*","6*"},'Accounting data'!J2:J65536,"25*",'Accounting data'!K2:K65536,"66*"))+SUM(SUMIFS('Accounting data'!G2:G65536,'Accounting data'!H2:H65536,"1228*",'Accounting data'!I2:I65536,{"1*","2*","3*","4*","5*","6*"},'Accounting data'!J2:J65536,"29*",'Accounting data'!K2:K65536,"66*"))</f>
        <v>0</v>
      </c>
      <c r="H12" s="354">
        <f t="array" ref="H12">SUM(SUMIFS('Accounting data'!G2:G65536,'Accounting data'!H2:H65536,"1310-1399-C*",'Accounting data'!I2:I65536,{"1*","2*","3*","4*","5*","6*"},'Accounting data'!J2:J65536,"23*",'Accounting data'!K2:K65536,"681*"))+SUM(SUMIFS('Accounting data'!G2:G65536,'Accounting data'!H2:H65536,"1310-1399-C*",'Accounting data'!I2:I65536,{"1*","2*","3*","4*","5*","6*"},'Accounting data'!J2:J65536,"25*",'Accounting data'!K2:K65536,"681*"))+SUM(SUMIFS('Accounting data'!G2:G65536,'Accounting data'!H2:H65536,"1310-1399-C*",'Accounting data'!I2:I65536,{"1*","2*","3*","4*","5*","6*"},'Accounting data'!J2:J65536,"29*",'Accounting data'!K2:K65536,"681*"))+SUM(SUMIFS('Accounting data'!G2:G65536,'Accounting data'!H2:H65536,"1227*",'Accounting data'!I2:I65536,{"1*","2*","3*","4*","5*","6*"},'Accounting data'!J2:J65536,"23*",'Accounting data'!K2:K65536,"681*"))+SUM(SUMIFS('Accounting data'!G2:G65536,'Accounting data'!H2:H65536,"1227*",'Accounting data'!I2:I65536,{"1*","2*","3*","4*","5*","6*"},'Accounting data'!J2:J65536,"25*",'Accounting data'!K2:K65536,"681*"))+SUM(SUMIFS('Accounting data'!G2:G65536,'Accounting data'!H2:H65536,"1227*",'Accounting data'!I2:I65536,{"1*","2*","3*","4*","5*","6*"},'Accounting data'!J2:J65536,"29*",'Accounting data'!K2:K65536,"681*"))+SUM(SUMIFS('Accounting data'!G2:G65536,'Accounting data'!H2:H65536,"1228*",'Accounting data'!I2:I65536,{"1*","2*","3*","4*","5*","6*"},'Accounting data'!J2:J65536,"23*",'Accounting data'!K2:K65536,"681*"))+SUM(SUMIFS('Accounting data'!G2:G65536,'Accounting data'!H2:H65536,"1228*",'Accounting data'!I2:I65536,{"1*","2*","3*","4*","5*","6*"},'Accounting data'!J2:J65536,"25*",'Accounting data'!K2:K65536,"681*"))+SUM(SUMIFS('Accounting data'!G2:G65536,'Accounting data'!H2:H65536,"1228*",'Accounting data'!I2:I65536,{"1*","2*","3*","4*","5*","6*"},'Accounting data'!J2:J65536,"29*",'Accounting data'!K2:K65536,"681*"))</f>
        <v>0</v>
      </c>
      <c r="I12" s="354">
        <f t="array" ref="I12">SUM(SUMIFS('Accounting data'!G2:G65536,'Accounting data'!H2:H65536,"1310-1399-C*",'Accounting data'!I2:I65536,{"1*","2*","3*","4*","5*","6*"},'Accounting data'!J2:J65536,"23*",'Accounting data'!K2:K65536,"682*"))+SUM(SUMIFS('Accounting data'!G2:G65536,'Accounting data'!H2:H65536,"1310-1399-C*",'Accounting data'!I2:I65536,{"1*","2*","3*","4*","5*","6*"},'Accounting data'!J2:J65536,"25*",'Accounting data'!K2:K65536,"682*"))+SUM(SUMIFS('Accounting data'!G2:G65536,'Accounting data'!H2:H65536,"1310-1399-C*",'Accounting data'!I2:I65536,{"1*","2*","3*","4*","5*","6*"},'Accounting data'!J2:J65536,"29*",'Accounting data'!K2:K65536,"682*"))+SUM(SUMIFS('Accounting data'!G2:G65536,'Accounting data'!H2:H65536,"1227*",'Accounting data'!I2:I65536,{"1*","2*","3*","4*","5*","6*"},'Accounting data'!J2:J65536,"23*",'Accounting data'!K2:K65536,"682*"))+SUM(SUMIFS('Accounting data'!G2:G65536,'Accounting data'!H2:H65536,"1227*",'Accounting data'!I2:I65536,{"1*","2*","3*","4*","5*","6*"},'Accounting data'!J2:J65536,"25*",'Accounting data'!K2:K65536,"682*"))+SUM(SUMIFS('Accounting data'!G2:G65536,'Accounting data'!H2:H65536,"1227*",'Accounting data'!I2:I65536,{"1*","2*","3*","4*","5*","6*"},'Accounting data'!J2:J65536,"29*",'Accounting data'!K2:K65536,"682*"))+SUM(SUMIFS('Accounting data'!G2:G65536,'Accounting data'!H2:H65536,"1228*",'Accounting data'!I2:I65536,{"1*","2*","3*","4*","5*","6*"},'Accounting data'!J2:J65536,"23*",'Accounting data'!K2:K65536,"682*"))+SUM(SUMIFS('Accounting data'!G2:G65536,'Accounting data'!H2:H65536,"1228*",'Accounting data'!I2:I65536,{"1*","2*","3*","4*","5*","6*"},'Accounting data'!J2:J65536,"25*",'Accounting data'!K2:K65536,"682*"))+SUM(SUMIFS('Accounting data'!G2:G65536,'Accounting data'!H2:H65536,"1228*",'Accounting data'!I2:I65536,{"1*","2*","3*","4*","5*","6*"},'Accounting data'!J2:J65536,"29*",'Accounting data'!K2:K65536,"682*"))</f>
        <v>0</v>
      </c>
      <c r="J12" s="354">
        <f t="array" ref="J12">SUM(SUMIFS('Accounting data'!G2:G65536,'Accounting data'!H2:H65536,"1310-1399-C*",'Accounting data'!I2:I65536,{"1*","2*","3*","4*","5*","6*"},'Accounting data'!J2:J65536,"23*",'Accounting data'!K2:K65536,"689*"))+SUM(SUMIFS('Accounting data'!G2:G65536,'Accounting data'!H2:H65536,"1310-1399-C*",'Accounting data'!I2:I65536,{"1*","2*","3*","4*","5*","6*"},'Accounting data'!J2:J65536,"25*",'Accounting data'!K2:K65536,"689*"))+SUM(SUMIFS('Accounting data'!G2:G65536,'Accounting data'!H2:H65536,"1310-1399-C*",'Accounting data'!I2:I65536,{"1*","2*","3*","4*","5*","6*"},'Accounting data'!J2:J65536,"29*",'Accounting data'!K2:K65536,"689*"))+SUM(SUMIFS('Accounting data'!G2:G65536,'Accounting data'!H2:H65536,"1227*",'Accounting data'!I2:I65536,{"1*","2*","3*","4*","5*","6*"},'Accounting data'!J2:J65536,"23*",'Accounting data'!K2:K65536,"689*"))+SUM(SUMIFS('Accounting data'!G2:G65536,'Accounting data'!H2:H65536,"1227*",'Accounting data'!I2:I65536,{"1*","2*","3*","4*","5*","6*"},'Accounting data'!J2:J65536,"25*",'Accounting data'!K2:K65536,"689*"))+SUM(SUMIFS('Accounting data'!G2:G65536,'Accounting data'!H2:H65536,"1227*",'Accounting data'!I2:I65536,{"1*","2*","3*","4*","5*","6*"},'Accounting data'!J2:J65536,"29*",'Accounting data'!K2:K65536,"689*"))+SUM(SUMIFS('Accounting data'!G2:G65536,'Accounting data'!H2:H65536,"1228*",'Accounting data'!I2:I65536,{"1*","2*","3*","4*","5*","6*"},'Accounting data'!J2:J65536,"23*",'Accounting data'!K2:K65536,"689*"))+SUM(SUMIFS('Accounting data'!G2:G65536,'Accounting data'!H2:H65536,"1228*",'Accounting data'!I2:I65536,{"1*","2*","3*","4*","5*","6*"},'Accounting data'!J2:J65536,"25*",'Accounting data'!K2:K65536,"689*"))+SUM(SUMIFS('Accounting data'!G2:G65536,'Accounting data'!H2:H65536,"1228*",'Accounting data'!I2:I65536,{"1*","2*","3*","4*","5*","6*"},'Accounting data'!J2:J65536,"29*",'Accounting data'!K2:K65536,"689*"))</f>
        <v>0</v>
      </c>
      <c r="K12" s="354">
        <f t="array" ref="K12">SUM(SUMIFS('Accounting data'!G2:G65536,'Accounting data'!H2:H65536,"1310-1399-C*",'Accounting data'!I2:I65536,{"1*","2*","3*","4*","5*","6*"},'Accounting data'!J2:J65536,"23*",'Accounting data'!K2:K65536,"683*"))+SUM(SUMIFS('Accounting data'!G2:G65536,'Accounting data'!H2:H65536,"1310-1399-C*",'Accounting data'!I2:I65536,{"1*","2*","3*","4*","5*","6*"},'Accounting data'!J2:J65536,"25*",'Accounting data'!K2:K65536,"683*"))+SUM(SUMIFS('Accounting data'!G2:G65536,'Accounting data'!H2:H65536,"1310-1399-C*",'Accounting data'!I2:I65536,{"1*","2*","3*","4*","5*","6*"},'Accounting data'!J2:J65536,"29*",'Accounting data'!K2:K65536,"683*"))+SUM(SUMIFS('Accounting data'!G2:G65536,'Accounting data'!H2:H65536,"1227*",'Accounting data'!I2:I65536,{"1*","2*","3*","4*","5*","6*"},'Accounting data'!J2:J65536,"23*",'Accounting data'!K2:K65536,"683*"))+SUM(SUMIFS('Accounting data'!G2:G65536,'Accounting data'!H2:H65536,"1227*",'Accounting data'!I2:I65536,{"1*","2*","3*","4*","5*","6*"},'Accounting data'!J2:J65536,"25*",'Accounting data'!K2:K65536,"683*"))+SUM(SUMIFS('Accounting data'!G2:G65536,'Accounting data'!H2:H65536,"1227*",'Accounting data'!I2:I65536,{"1*","2*","3*","4*","5*","6*"},'Accounting data'!J2:J65536,"29*",'Accounting data'!K2:K65536,"683*"))+SUM(SUMIFS('Accounting data'!G2:G65536,'Accounting data'!H2:H65536,"1228*",'Accounting data'!I2:I65536,{"1*","2*","3*","4*","5*","6*"},'Accounting data'!J2:J65536,"23*",'Accounting data'!K2:K65536,"683*"))+SUM(SUMIFS('Accounting data'!G2:G65536,'Accounting data'!H2:H65536,"1228*",'Accounting data'!I2:I65536,{"1*","2*","3*","4*","5*","6*"},'Accounting data'!J2:J65536,"25*",'Accounting data'!K2:K65536,"683*"))+SUM(SUMIFS('Accounting data'!G2:G65536,'Accounting data'!H2:H65536,"1228*",'Accounting data'!I2:I65536,{"1*","2*","3*","4*","5*","6*"},'Accounting data'!J2:J65536,"29*",'Accounting data'!K2:K65536,"683*"))</f>
        <v>0</v>
      </c>
      <c r="L12" s="37"/>
      <c r="M12" s="360" cm="1">
        <f t="array" ref="M12">(SUM(SUMIFS('Accounting data'!G2:G65536,'Accounting data'!H2:H65536,"1310-1399-C*",'Accounting data'!I2:I65536,{"7*","8*","9*"},'Accounting data'!J2:J65536,"23*",'Accounting data'!K2:K65536,"6*"))+SUM(SUMIFS('Accounting data'!G2:G65536,'Accounting data'!H2:H65536,"1310-1399-C*",'Accounting data'!I2:I65536,{"7*","8*","9*"},'Accounting data'!J2:J65536,"25*",'Accounting data'!K2:K65536,"6*"))+SUM(SUMIFS('Accounting data'!G2:G65536,'Accounting data'!H2:H65536,"1310-1399-C*",'Accounting data'!I2:I65536,{"7*","8*","9*"},'Accounting data'!J2:J65536,"29*",'Accounting data'!K2:K65536,"6*")))-(SUM(SUMIFS('Accounting data'!G2:G65536,'Accounting data'!H2:H65536,"1310-1399-C*",'Accounting data'!I2:I65536,{"7*","8*","9*"},'Accounting data'!J2:J65536,"23*",'Accounting data'!K2:K65536,"69*"))+SUM(SUMIFS('Accounting data'!G2:G65536,'Accounting data'!H2:H65536,"1310-1399-C*",'Accounting data'!I2:I65536,{"7*","8*","9*"},'Accounting data'!J2:J65536,"25*",'Accounting data'!K2:K65536,"69*"))+SUM(SUMIFS('Accounting data'!G2:G65536,'Accounting data'!H2:H65536,"1310-1399-C*",'Accounting data'!I2:I65536,{"7*","8*","9*"},'Accounting data'!J2:J65536,"29*",'Accounting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data'!K2:K65536,"69*")))+AA12</f>
        <v>0</v>
      </c>
      <c r="N12" s="356">
        <f t="shared" si="0"/>
        <v>0</v>
      </c>
      <c r="O12" s="357"/>
      <c r="AA12" s="361">
        <f t="array" ref="AA12">(SUM(SUMIFS('Accounting data'!G2:G65536,'Accounting data'!H2:H65536,"1228*",'Accounting data'!I2:I65536,{"7*","8*","9*"},'Accounting data'!J2:J65536,"23*",'Accounting data'!K2:K65536,"6*"))+SUM(SUMIFS('Accounting data'!G2:G65536,'Accounting data'!H2:H65536,"1228*",'Accounting data'!I2:I65536,{"7*","8*","9*"},'Accounting data'!J2:J65536,"25*",'Accounting data'!K2:K65536,"6*"))+SUM(SUMIFS('Accounting data'!G2:G65536,'Accounting data'!H2:H65536,"1228*",'Accounting data'!I2:I65536,{"7*","8*","9*"},'Accounting data'!J2:J65536,"29*",'Accounting data'!K2:K65536,"6*")))-(SUM(SUMIFS('Accounting data'!G2:G65536,'Accounting data'!H2:H65536,"1228*",'Accounting data'!I2:I65536,{"7*","8*","9*"},'Accounting data'!J2:J65536,"23*",'Accounting data'!K2:K65536,"69*"))+SUM(SUMIFS('Accounting data'!G2:G65536,'Accounting data'!H2:H65536,"1228*",'Accounting data'!I2:I65536,{"7*","8*","9*"},'Accounting data'!J2:J65536,"25*",'Accounting data'!K2:K65536,"69*"))+SUM(SUMIFS('Accounting data'!G2:G65536,'Accounting data'!H2:H65536,"1228*",'Accounting data'!I2:I65536,{"7*","8*","9*"},'Accounting data'!J2:J65536,"29*",'Accounting data'!K2:K65536,"69*")))</f>
        <v>0</v>
      </c>
    </row>
    <row r="13" spans="1:27" x14ac:dyDescent="0.25">
      <c r="A13" s="362" t="s">
        <v>202</v>
      </c>
      <c r="B13" s="363"/>
      <c r="C13" s="364" t="s">
        <v>31</v>
      </c>
      <c r="D13" s="354">
        <f t="array" ref="D13">SUM(SUMIFS('Accounting data'!G2:G65536,'Accounting data'!H2:H65536,"1310-1399-C*",'Accounting data'!I2:I65536,{"1*","2*","3*","4*","5*","6*"},'Accounting data'!J2:J65536,"24*",'Accounting data'!K2:K65536,"61*"))+SUM(SUMIFS('Accounting data'!G2:G65536,'Accounting data'!H2:H65536,"1227*",'Accounting data'!I2:I65536,{"1*","2*","3*","4*","5*","6*"},'Accounting data'!J2:J65536,"24*",'Accounting data'!K2:K65536,"61*"))+SUM(SUMIFS('Accounting data'!G2:G65536,'Accounting data'!H2:H65536,"1228*",'Accounting data'!I2:I65536,{"1*","2*","3*","4*","5*","6*"},'Accounting data'!J2:J65536,"24*",'Accounting data'!K2:K65536,"61*"))</f>
        <v>0</v>
      </c>
      <c r="E13" s="354">
        <f t="array" ref="E13">SUM(SUMIFS('Accounting data'!G2:G65536,'Accounting data'!H2:H65536,"1310-1399-C*",'Accounting data'!I2:I65536,{"1*","2*","3*","4*","5*","6*"},'Accounting data'!J2:J65536,"24*",'Accounting data'!K2:K65536,"62*"))+SUM(SUMIFS('Accounting data'!G2:G65536,'Accounting data'!H2:H65536,"1227*",'Accounting data'!I2:I65536,{"1*","2*","3*","4*","5*","6*"},'Accounting data'!J2:J65536,"24*",'Accounting data'!K2:K65536,"62*"))+SUM(SUMIFS('Accounting data'!G2:G65536,'Accounting data'!H2:H65536,"1228*",'Accounting data'!I2:I65536,{"1*","2*","3*","4*","5*","6*"},'Accounting data'!J2:J65536,"24*",'Accounting data'!K2:K65536,"62*"))</f>
        <v>0</v>
      </c>
      <c r="F13" s="354">
        <f t="array" ref="F13">SUM(SUMIFS('Accounting data'!G2:G65536,'Accounting data'!H2:H65536,"1310-1399-C*",'Accounting data'!I2:I65536,{"1*","2*","3*","4*","5*","6*"},'Accounting data'!J2:J65536,"24*",'Accounting data'!K2:K65536,"63*"))+SUM(SUMIFS('Accounting data'!G2:G65536,'Accounting data'!H2:H65536,"1227*",'Accounting data'!I2:I65536,{"1*","2*","3*","4*","5*","6*"},'Accounting data'!J2:J65536,"24*",'Accounting data'!K2:K65536,"63*"))+SUM(SUMIFS('Accounting data'!G2:G65536,'Accounting data'!H2:H65536,"1228*",'Accounting data'!I2:I65536,{"1*","2*","3*","4*","5*","6*"},'Accounting data'!J2:J65536,"24*",'Accounting data'!K2:K65536,"63*"))</f>
        <v>0</v>
      </c>
      <c r="G13" s="354">
        <f t="array" ref="G13">SUM(SUMIFS('Accounting data'!G2:G65536,'Accounting data'!H2:H65536,"1310-1399-C*",'Accounting data'!I2:I65536,{"1*","2*","3*","4*","5*","6*"},'Accounting data'!J2:J65536,"24*",'Accounting data'!K2:K65536,"66*"))+SUM(SUMIFS('Accounting data'!G2:G65536,'Accounting data'!H2:H65536,"1227*",'Accounting data'!I2:I65536,{"1*","2*","3*","4*","5*","6*"},'Accounting data'!J2:J65536,"24*",'Accounting data'!K2:K65536,"66*"))+SUM(SUMIFS('Accounting data'!G2:G65536,'Accounting data'!H2:H65536,"1228*",'Accounting data'!I2:I65536,{"1*","2*","3*","4*","5*","6*"},'Accounting data'!J2:J65536,"24*",'Accounting data'!K2:K65536,"66*"))</f>
        <v>0</v>
      </c>
      <c r="H13" s="354">
        <f t="array" ref="H13">SUM(SUMIFS('Accounting data'!G2:G65536,'Accounting data'!H2:H65536,"1310-1399-C*",'Accounting data'!I2:I65536,{"1*","2*","3*","4*","5*","6*"},'Accounting data'!J2:J65536,"24*",'Accounting data'!K2:K65536,"681*"))+SUM(SUMIFS('Accounting data'!G2:G65536,'Accounting data'!H2:H65536,"1227*",'Accounting data'!I2:I65536,{"1*","2*","3*","4*","5*","6*"},'Accounting data'!J2:J65536,"24*",'Accounting data'!K2:K65536,"681*"))+SUM(SUMIFS('Accounting data'!G2:G65536,'Accounting data'!H2:H65536,"1228*",'Accounting data'!I2:I65536,{"1*","2*","3*","4*","5*","6*"},'Accounting data'!J2:J65536,"24*",'Accounting data'!K2:K65536,"681*"))</f>
        <v>0</v>
      </c>
      <c r="I13" s="355"/>
      <c r="J13" s="354">
        <f t="array" ref="J13">SUM(SUMIFS('Accounting data'!G2:G65536,'Accounting data'!H2:H65536,"1310-1399-C*",'Accounting data'!I2:I65536,{"1*","2*","3*","4*","5*","6*"},'Accounting data'!J2:J65536,"24*",'Accounting data'!K2:K65536,"689*"))+SUM(SUMIFS('Accounting data'!G2:G65536,'Accounting data'!H2:H65536,"1227*",'Accounting data'!I2:I65536,{"1*","2*","3*","4*","5*","6*"},'Accounting data'!J2:J65536,"24*",'Accounting data'!K2:K65536,"689*"))+SUM(SUMIFS('Accounting data'!G2:G65536,'Accounting data'!H2:H65536,"1228*",'Accounting data'!I2:I65536,{"1*","2*","3*","4*","5*","6*"},'Accounting data'!J2:J65536,"24*",'Accounting data'!K2:K65536,"689*"))</f>
        <v>0</v>
      </c>
      <c r="K13" s="354">
        <f t="array" ref="K13">SUM(SUMIFS('Accounting data'!G2:G65536,'Accounting data'!H2:H65536,"1310-1399-C*",'Accounting data'!I2:I65536,{"1*","2*","3*","4*","5*","6*"},'Accounting data'!J2:J65536,"24*",'Accounting data'!K2:K65536,"683*"))+SUM(SUMIFS('Accounting data'!G2:G65536,'Accounting data'!H2:H65536,"1227*",'Accounting data'!I2:I65536,{"1*","2*","3*","4*","5*","6*"},'Accounting data'!J2:J65536,"24*",'Accounting data'!K2:K65536,"683*"))+SUM(SUMIFS('Accounting data'!G2:G65536,'Accounting data'!H2:H65536,"1228*",'Accounting data'!I2:I65536,{"1*","2*","3*","4*","5*","6*"},'Accounting data'!J2:J65536,"24*",'Accounting data'!K2:K65536,"683*"))</f>
        <v>0</v>
      </c>
      <c r="L13" s="37"/>
      <c r="M13" s="354" cm="1">
        <f t="array" ref="M13">SUM(SUMIFS('Accounting data'!G2:G65536,'Accounting data'!H2:H65536,"1310-1399-C*",'Accounting data'!I2:I65536,{"7*","8*","9*"},'Accounting data'!J2:J65536,"24*",'Accounting data'!K2:K65536,"6*"))-SUM(SUMIFS('Accounting data'!G2:G65536,'Accounting data'!H2:H65536,"1310-1399-C*",'Accounting data'!I2:I65536,{"7*","8*","9*"},'Accounting data'!J2:J65536,"24*",'Accounting data'!K2:K65536,"69*"))+SUM(SUMIFS('Accounting data'!G2:G65536,'Accounting data'!H2:H65536,"1227*",'Accounting data'!I2:I65536,{"7*","8*","9*"},'Accounting data'!J2:J65536,"24*",'Accounting data'!K2:K65536,"6*"))-SUM(SUMIFS('Accounting data'!G2:G65536,'Accounting data'!H2:H65536,"1227*",'Accounting data'!I2:I65536,{"7*","8*","9*"},'Accounting data'!J2:J65536,"24*",'Accounting data'!K2:K65536,"69*"))+SUM(SUMIFS('Accounting data'!G2:G65536,'Accounting data'!H2:H65536,"1228*",'Accounting data'!I2:I65536,{"7*","8*","9*"},'Accounting data'!J2:J65536,"24*",'Accounting data'!K2:K65536,"6*"))-SUM(SUMIFS('Accounting data'!G2:G65536,'Accounting data'!H2:H65536,"1228*",'Accounting data'!I2:I65536,{"7*","8*","9*"},'Accounting data'!J2:J65536,"24*",'Accounting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f>
        <v>0</v>
      </c>
      <c r="N13" s="356">
        <f t="shared" si="0"/>
        <v>0</v>
      </c>
      <c r="O13" s="365"/>
    </row>
    <row r="14" spans="1:27" x14ac:dyDescent="0.25">
      <c r="A14" s="358" t="s">
        <v>428</v>
      </c>
      <c r="B14" s="586"/>
      <c r="C14" s="364" t="s">
        <v>33</v>
      </c>
      <c r="D14" s="354">
        <f t="array" ref="D14">SUM(SUMIFS('Accounting data'!G2:G65536,'Accounting data'!H2:H65536,"1310-1399-C*",'Accounting data'!I2:I65536,{"1*","2*","3*","4*","5*","6*"},'Accounting data'!J2:J65536,"26*",'Accounting data'!K2:K65536,"61*"))+SUM(SUMIFS('Accounting data'!G2:G65536,'Accounting data'!H2:H65536,"1227*",'Accounting data'!I2:I65536,{"1*","2*","3*","4*","5*","6*"},'Accounting data'!J2:J65536,"26*",'Accounting data'!K2:K65536,"61*"))+SUM(SUMIFS('Accounting data'!G2:G65536,'Accounting data'!H2:H65536,"1228*",'Accounting data'!I2:I65536,{"1*","2*","3*","4*","5*","6*"},'Accounting data'!J2:J65536,"26*",'Accounting data'!K2:K65536,"61*"))</f>
        <v>0</v>
      </c>
      <c r="E14" s="354">
        <f t="array" ref="E14">SUM(SUMIFS('Accounting data'!G2:G65536,'Accounting data'!H2:H65536,"1310-1399-C*",'Accounting data'!I2:I65536,{"1*","2*","3*","4*","5*","6*"},'Accounting data'!J2:J65536,"26*",'Accounting data'!K2:K65536,"62*"))+SUM(SUMIFS('Accounting data'!G2:G65536,'Accounting data'!H2:H65536,"1227*",'Accounting data'!I2:I65536,{"1*","2*","3*","4*","5*","6*"},'Accounting data'!J2:J65536,"26*",'Accounting data'!K2:K65536,"62*"))+SUM(SUMIFS('Accounting data'!G2:G65536,'Accounting data'!H2:H65536,"1228*",'Accounting data'!I2:I65536,{"1*","2*","3*","4*","5*","6*"},'Accounting data'!J2:J65536,"26*",'Accounting data'!K2:K65536,"62*"))</f>
        <v>0</v>
      </c>
      <c r="F14" s="354">
        <f t="array" ref="F14">SUM(SUMIFS('Accounting data'!G2:G65536,'Accounting data'!H2:H65536,"1310-1399-C*",'Accounting data'!I2:I65536,{"1*","2*","3*","4*","5*","6*"},'Accounting data'!J2:J65536,"26*",'Accounting data'!K2:K65536,"63*"))+SUM(SUMIFS('Accounting data'!G2:G65536,'Accounting data'!H2:H65536,"1227*",'Accounting data'!I2:I65536,{"1*","2*","3*","4*","5*","6*"},'Accounting data'!J2:J65536,"26*",'Accounting data'!K2:K65536,"63*"))+SUM(SUMIFS('Accounting data'!G2:G65536,'Accounting data'!H2:H65536,"1228*",'Accounting data'!I2:I65536,{"1*","2*","3*","4*","5*","6*"},'Accounting data'!J2:J65536,"26*",'Accounting data'!K2:K65536,"63*"))</f>
        <v>0</v>
      </c>
      <c r="G14" s="354">
        <f t="array" ref="G14">SUM(SUMIFS('Accounting data'!G2:G65536,'Accounting data'!H2:H65536,"1310-1399-C*",'Accounting data'!I2:I65536,{"1*","2*","3*","4*","5*","6*"},'Accounting data'!J2:J65536,"26*",'Accounting data'!K2:K65536,"66*"))+SUM(SUMIFS('Accounting data'!G2:G65536,'Accounting data'!H2:H65536,"1227*",'Accounting data'!I2:I65536,{"1*","2*","3*","4*","5*","6*"},'Accounting data'!J2:J65536,"26*",'Accounting data'!K2:K65536,"66*"))+SUM(SUMIFS('Accounting data'!G2:G65536,'Accounting data'!H2:H65536,"1228*",'Accounting data'!I2:I65536,{"1*","2*","3*","4*","5*","6*"},'Accounting data'!J2:J65536,"26*",'Accounting data'!K2:K65536,"66*"))</f>
        <v>0</v>
      </c>
      <c r="H14" s="354">
        <f t="array" ref="H14">SUM(SUMIFS('Accounting data'!G2:G65536,'Accounting data'!H2:H65536,"1310-1399-C*",'Accounting data'!I2:I65536,{"1*","2*","3*","4*","5*","6*"},'Accounting data'!J2:J65536,"26*",'Accounting data'!K2:K65536,"681*"))+SUM(SUMIFS('Accounting data'!G2:G65536,'Accounting data'!H2:H65536,"1227*",'Accounting data'!I2:I65536,{"1*","2*","3*","4*","5*","6*"},'Accounting data'!J2:J65536,"26*",'Accounting data'!K2:K65536,"681*"))+SUM(SUMIFS('Accounting data'!G2:G65536,'Accounting data'!H2:H65536,"1228*",'Accounting data'!I2:I65536,{"1*","2*","3*","4*","5*","6*"},'Accounting data'!J2:J65536,"26*",'Accounting data'!K2:K65536,"681*"))</f>
        <v>0</v>
      </c>
      <c r="I14" s="355"/>
      <c r="J14" s="354">
        <f t="array" ref="J14">SUM(SUMIFS('Accounting data'!G2:G65536,'Accounting data'!H2:H65536,"1310-1399-C*",'Accounting data'!I2:I65536,{"1*","2*","3*","4*","5*","6*"},'Accounting data'!J2:J65536,"26*",'Accounting data'!K2:K65536,"689*"))+SUM(SUMIFS('Accounting data'!G2:G65536,'Accounting data'!H2:H65536,"1227*",'Accounting data'!I2:I65536,{"1*","2*","3*","4*","5*","6*"},'Accounting data'!J2:J65536,"26*",'Accounting data'!K2:K65536,"689*"))+SUM(SUMIFS('Accounting data'!G2:G65536,'Accounting data'!H2:H65536,"1228*",'Accounting data'!I2:I65536,{"1*","2*","3*","4*","5*","6*"},'Accounting data'!J2:J65536,"26*",'Accounting data'!K2:K65536,"689*"))</f>
        <v>0</v>
      </c>
      <c r="K14" s="354">
        <f t="array" ref="K14">SUM(SUMIFS('Accounting data'!G2:G65536,'Accounting data'!H2:H65536,"1310-1399-C*",'Accounting data'!I2:I65536,{"1*","2*","3*","4*","5*","6*"},'Accounting data'!J2:J65536,"26*",'Accounting data'!K2:K65536,"683*"))+SUM(SUMIFS('Accounting data'!G2:G65536,'Accounting data'!H2:H65536,"1227*",'Accounting data'!I2:I65536,{"1*","2*","3*","4*","5*","6*"},'Accounting data'!J2:J65536,"26*",'Accounting data'!K2:K65536,"683*"))+SUM(SUMIFS('Accounting data'!G2:G65536,'Accounting data'!H2:H65536,"1228*",'Accounting data'!I2:I65536,{"1*","2*","3*","4*","5*","6*"},'Accounting data'!J2:J65536,"26*",'Accounting data'!K2:K65536,"683*"))</f>
        <v>0</v>
      </c>
      <c r="L14" s="37"/>
      <c r="M14" s="354" cm="1">
        <f t="array" ref="M14">SUM(SUMIFS('Accounting data'!G2:G65536,'Accounting data'!H2:H65536,"1310-1399-C*",'Accounting data'!I2:I65536,{"7*","8*","9*"},'Accounting data'!J2:J65536,"26*",'Accounting data'!K2:K65536,"6*"))-SUM(SUMIFS('Accounting data'!G2:G65536,'Accounting data'!H2:H65536,"1310-1399-C*",'Accounting data'!I2:I65536,{"7*","8*","9*"},'Accounting data'!J2:J65536,"26*",'Accounting data'!K2:K65536,"69*"))+SUM(SUMIFS('Accounting data'!G2:G65536,'Accounting data'!H2:H65536,"1227*",'Accounting data'!I2:I65536,{"7*","8*","9*"},'Accounting data'!J2:J65536,"26*",'Accounting data'!K2:K65536,"6*"))-SUM(SUMIFS('Accounting data'!G2:G65536,'Accounting data'!H2:H65536,"1227*",'Accounting data'!I2:I65536,{"7*","8*","9*"},'Accounting data'!J2:J65536,"26*",'Accounting data'!K2:K65536,"69*"))+SUM(SUMIFS('Accounting data'!G2:G65536,'Accounting data'!H2:H65536,"1228*",'Accounting data'!I2:I65536,{"7*","8*","9*"},'Accounting data'!J2:J65536,"26*",'Accounting data'!K2:K65536,"6*"))-SUM(SUMIFS('Accounting data'!G2:G65536,'Accounting data'!H2:H65536,"1228*",'Accounting data'!I2:I65536,{"7*","8*","9*"},'Accounting data'!J2:J65536,"26*",'Accounting data'!K2:K65536,"69*"))</f>
        <v>0</v>
      </c>
      <c r="N14" s="356">
        <f t="shared" si="0"/>
        <v>0</v>
      </c>
      <c r="O14" s="365"/>
    </row>
    <row r="15" spans="1:27" x14ac:dyDescent="0.25">
      <c r="A15" s="366" t="s">
        <v>208</v>
      </c>
      <c r="B15" s="367"/>
      <c r="C15" s="364" t="s">
        <v>35</v>
      </c>
      <c r="D15" s="354">
        <f t="array" ref="D15">SUM(SUMIFS('Accounting data'!G2:G65536,'Accounting data'!H2:H65536,"1310-1399-C*",'Accounting data'!I2:I65536,{"1*","2*","3*","4*","5*","6*"},'Accounting data'!J2:J65536,"27*",'Accounting data'!K2:K65536,"61*"))+SUM(SUMIFS('Accounting data'!G2:G65536,'Accounting data'!H2:H65536,"1227*",'Accounting data'!I2:I65536,{"1*","2*","3*","4*","5*","6*"},'Accounting data'!J2:J65536,"27*",'Accounting data'!K2:K65536,"61*"))+SUM(SUMIFS('Accounting data'!G2:G65536,'Accounting data'!H2:H65536,"1228*",'Accounting data'!I2:I65536,{"1*","2*","3*","4*","5*","6*"},'Accounting data'!J2:J65536,"27*",'Accounting data'!K2:K65536,"61*"))</f>
        <v>0</v>
      </c>
      <c r="E15" s="354">
        <f t="array" ref="E15">SUM(SUMIFS('Accounting data'!G2:G65536,'Accounting data'!H2:H65536,"1310-1399-C*",'Accounting data'!I2:I65536,{"1*","2*","3*","4*","5*","6*"},'Accounting data'!J2:J65536,"27*",'Accounting data'!K2:K65536,"62*"))+SUM(SUMIFS('Accounting data'!G2:G65536,'Accounting data'!H2:H65536,"1227*",'Accounting data'!I2:I65536,{"1*","2*","3*","4*","5*","6*"},'Accounting data'!J2:J65536,"27*",'Accounting data'!K2:K65536,"62*"))+SUM(SUMIFS('Accounting data'!G2:G65536,'Accounting data'!H2:H65536,"1228*",'Accounting data'!I2:I65536,{"1*","2*","3*","4*","5*","6*"},'Accounting data'!J2:J65536,"27*",'Accounting data'!K2:K65536,"62*"))</f>
        <v>0</v>
      </c>
      <c r="F15" s="354">
        <f t="array" ref="F15">SUM(SUMIFS('Accounting data'!G2:G65536,'Accounting data'!H2:H65536,"1310-1399-C*",'Accounting data'!I2:I65536,{"1*","2*","3*","4*","5*","6*"},'Accounting data'!J2:J65536,"27*",'Accounting data'!K2:K65536,"63*"))+SUM(SUMIFS('Accounting data'!G2:G65536,'Accounting data'!H2:H65536,"1227*",'Accounting data'!I2:I65536,{"1*","2*","3*","4*","5*","6*"},'Accounting data'!J2:J65536,"27*",'Accounting data'!K2:K65536,"63*"))+SUM(SUMIFS('Accounting data'!G2:G65536,'Accounting data'!H2:H65536,"1228*",'Accounting data'!I2:I65536,{"1*","2*","3*","4*","5*","6*"},'Accounting data'!J2:J65536,"27*",'Accounting data'!K2:K65536,"63*"))</f>
        <v>0</v>
      </c>
      <c r="G15" s="354">
        <f t="array" ref="G15">SUM(SUMIFS('Accounting data'!G2:G65536,'Accounting data'!H2:H65536,"1310-1399-C*",'Accounting data'!I2:I65536,{"1*","2*","3*","4*","5*","6*"},'Accounting data'!J2:J65536,"27*",'Accounting data'!K2:K65536,"66*"))+SUM(SUMIFS('Accounting data'!G2:G65536,'Accounting data'!H2:H65536,"1227*",'Accounting data'!I2:I65536,{"1*","2*","3*","4*","5*","6*"},'Accounting data'!J2:J65536,"27*",'Accounting data'!K2:K65536,"66*"))+SUM(SUMIFS('Accounting data'!G2:G65536,'Accounting data'!H2:H65536,"1228*",'Accounting data'!I2:I65536,{"1*","2*","3*","4*","5*","6*"},'Accounting data'!J2:J65536,"27*",'Accounting data'!K2:K65536,"66*"))</f>
        <v>0</v>
      </c>
      <c r="H15" s="354">
        <f t="array" ref="H15">SUM(SUMIFS('Accounting data'!G2:G65536,'Accounting data'!H2:H65536,"1310-1399-C*",'Accounting data'!I2:I65536,{"1*","2*","3*","4*","5*","6*"},'Accounting data'!J2:J65536,"27*",'Accounting data'!K2:K65536,"681*"))+SUM(SUMIFS('Accounting data'!G2:G65536,'Accounting data'!H2:H65536,"1227*",'Accounting data'!I2:I65536,{"1*","2*","3*","4*","5*","6*"},'Accounting data'!J2:J65536,"27*",'Accounting data'!K2:K65536,"681*"))+SUM(SUMIFS('Accounting data'!G2:G65536,'Accounting data'!H2:H65536,"1228*",'Accounting data'!I2:I65536,{"1*","2*","3*","4*","5*","6*"},'Accounting data'!J2:J65536,"27*",'Accounting data'!K2:K65536,"681*"))</f>
        <v>0</v>
      </c>
      <c r="I15" s="355"/>
      <c r="J15" s="354">
        <f t="array" ref="J15">SUM(SUMIFS('Accounting data'!G2:G65536,'Accounting data'!H2:H65536,"1310-1399-C*",'Accounting data'!I2:I65536,{"1*","2*","3*","4*","5*","6*"},'Accounting data'!J2:J65536,"27*",'Accounting data'!K2:K65536,"689*"))+SUM(SUMIFS('Accounting data'!G2:G65536,'Accounting data'!H2:H65536,"1227*",'Accounting data'!I2:I65536,{"1*","2*","3*","4*","5*","6*"},'Accounting data'!J2:J65536,"27*",'Accounting data'!K2:K65536,"689*"))+SUM(SUMIFS('Accounting data'!G2:G65536,'Accounting data'!H2:H65536,"1228*",'Accounting data'!I2:I65536,{"1*","2*","3*","4*","5*","6*"},'Accounting data'!J2:J65536,"27*",'Accounting data'!K2:K65536,"689*"))</f>
        <v>0</v>
      </c>
      <c r="K15" s="354">
        <f t="array" ref="K15">SUM(SUMIFS('Accounting data'!G2:G65536,'Accounting data'!H2:H65536,"1310-1399-C*",'Accounting data'!I2:I65536,{"1*","2*","3*","4*","5*","6*"},'Accounting data'!J2:J65536,"27*",'Accounting data'!K2:K65536,"683*"))+SUM(SUMIFS('Accounting data'!G2:G65536,'Accounting data'!H2:H65536,"1227*",'Accounting data'!I2:I65536,{"1*","2*","3*","4*","5*","6*"},'Accounting data'!J2:J65536,"27*",'Accounting data'!K2:K65536,"683*"))+SUM(SUMIFS('Accounting data'!G2:G65536,'Accounting data'!H2:H65536,"1228*",'Accounting data'!I2:I65536,{"1*","2*","3*","4*","5*","6*"},'Accounting data'!J2:J65536,"27*",'Accounting data'!K2:K65536,"683*"))</f>
        <v>0</v>
      </c>
      <c r="L15" s="37"/>
      <c r="M15" s="354" cm="1">
        <f t="array" ref="M15">SUM(SUMIFS('Accounting data'!G2:G65536,'Accounting data'!H2:H65536,"1310-1399-C*",'Accounting data'!I2:I65536,{"7*","8*","9*"},'Accounting data'!J2:J65536,"27*",'Accounting data'!K2:K65536,"6*"))-SUM(SUMIFS('Accounting data'!G2:G65536,'Accounting data'!H2:H65536,"1310-1399-C*",'Accounting data'!I2:I65536,{"7*","8*","9*"},'Accounting data'!J2:J65536,"27*",'Accounting data'!K2:K65536,"69*"))+SUM(SUMIFS('Accounting data'!G2:G65536,'Accounting data'!H2:H65536,"1227*",'Accounting data'!I2:I65536,{"7*","8*","9*"},'Accounting data'!J2:J65536,"27*",'Accounting data'!K2:K65536,"6*"))-SUM(SUMIFS('Accounting data'!G2:G65536,'Accounting data'!H2:H65536,"1227*",'Accounting data'!I2:I65536,{"7*","8*","9*"},'Accounting data'!J2:J65536,"27*",'Accounting data'!K2:K65536,"69*"))+SUM(SUMIFS('Accounting data'!G2:G65536,'Accounting data'!H2:H65536,"1228*",'Accounting data'!I2:I65536,{"7*","8*","9*"},'Accounting data'!J2:J65536,"27*",'Accounting data'!K2:K65536,"6*"))-SUM(SUMIFS('Accounting data'!G2:G65536,'Accounting data'!H2:H65536,"1228*",'Accounting data'!I2:I65536,{"7*","8*","9*"},'Accounting data'!J2:J65536,"27*",'Accounting data'!K2:K65536,"69*"))</f>
        <v>0</v>
      </c>
      <c r="N15" s="356">
        <f t="shared" si="0"/>
        <v>0</v>
      </c>
      <c r="O15" s="365"/>
    </row>
    <row r="16" spans="1:27" x14ac:dyDescent="0.25">
      <c r="A16" s="366" t="s">
        <v>429</v>
      </c>
      <c r="B16" s="367"/>
      <c r="C16" s="364" t="s">
        <v>36</v>
      </c>
      <c r="D16" s="354">
        <f t="array" ref="D16">SUM(SUMIFS('Accounting data'!G2:G65536,'Accounting data'!H2:H65536,"1310-1399-C*",'Accounting data'!I2:I65536,{"1*","2*","3*","4*","5*","6*"},'Accounting data'!J2:J65536,"31*",'Accounting data'!K2:K65536,"61*"))+SUM(SUMIFS('Accounting data'!G2:G65536,'Accounting data'!H2:H65536,"1227*",'Accounting data'!I2:I65536,{"1*","2*","3*","4*","5*","6*"},'Accounting data'!J2:J65536,"31*",'Accounting data'!K2:K65536,"61*"))+SUM(SUMIFS('Accounting data'!G2:G65536,'Accounting data'!H2:H65536,"1228*",'Accounting data'!I2:I65536,{"1*","2*","3*","4*","5*","6*"},'Accounting data'!J2:J65536,"31*",'Accounting data'!K2:K65536,"61*"))</f>
        <v>0</v>
      </c>
      <c r="E16" s="354">
        <f t="array" ref="E16">SUM(SUMIFS('Accounting data'!G2:G65536,'Accounting data'!H2:H65536,"1310-1399-C*",'Accounting data'!I2:I65536,{"1*","2*","3*","4*","5*","6*"},'Accounting data'!J2:J65536,"31*",'Accounting data'!K2:K65536,"62*"))+SUM(SUMIFS('Accounting data'!G2:G65536,'Accounting data'!H2:H65536,"1227*",'Accounting data'!I2:I65536,{"1*","2*","3*","4*","5*","6*"},'Accounting data'!J2:J65536,"31*",'Accounting data'!K2:K65536,"62*"))+SUM(SUMIFS('Accounting data'!G2:G65536,'Accounting data'!H2:H65536,"1228*",'Accounting data'!I2:I65536,{"1*","2*","3*","4*","5*","6*"},'Accounting data'!J2:J65536,"31*",'Accounting data'!K2:K65536,"62*"))</f>
        <v>0</v>
      </c>
      <c r="F16" s="354">
        <f t="array" ref="F16">SUM(SUMIFS('Accounting data'!G2:G65536,'Accounting data'!H2:H65536,"1310-1399-C*",'Accounting data'!I2:I65536,{"1*","2*","3*","4*","5*","6*"},'Accounting data'!J2:J65536,"31*",'Accounting data'!K2:K65536,"63*"))+SUM(SUMIFS('Accounting data'!G2:G65536,'Accounting data'!H2:H65536,"1227*",'Accounting data'!I2:I65536,{"1*","2*","3*","4*","5*","6*"},'Accounting data'!J2:J65536,"31*",'Accounting data'!K2:K65536,"63*"))+SUM(SUMIFS('Accounting data'!G2:G65536,'Accounting data'!H2:H65536,"1228*",'Accounting data'!I2:I65536,{"1*","2*","3*","4*","5*","6*"},'Accounting data'!J2:J65536,"31*",'Accounting data'!K2:K65536,"63*"))</f>
        <v>0</v>
      </c>
      <c r="G16" s="354">
        <f t="array" ref="G16">SUM(SUMIFS('Accounting data'!G2:G65536,'Accounting data'!H2:H65536,"1310-1399-C*",'Accounting data'!I2:I65536,{"1*","2*","3*","4*","5*","6*"},'Accounting data'!J2:J65536,"31*",'Accounting data'!K2:K65536,"66*"))+SUM(SUMIFS('Accounting data'!G2:G65536,'Accounting data'!H2:H65536,"1227*",'Accounting data'!I2:I65536,{"1*","2*","3*","4*","5*","6*"},'Accounting data'!J2:J65536,"31*",'Accounting data'!K2:K65536,"66*"))+SUM(SUMIFS('Accounting data'!G2:G65536,'Accounting data'!H2:H65536,"1228*",'Accounting data'!I2:I65536,{"1*","2*","3*","4*","5*","6*"},'Accounting data'!J2:J65536,"31*",'Accounting data'!K2:K65536,"66*"))</f>
        <v>0</v>
      </c>
      <c r="H16" s="354">
        <f t="array" ref="H16">SUM(SUMIFS('Accounting data'!G2:G65536,'Accounting data'!H2:H65536,"1310-1399-C*",'Accounting data'!I2:I65536,{"1*","2*","3*","4*","5*","6*"},'Accounting data'!J2:J65536,"31*",'Accounting data'!K2:K65536,"681*"))+SUM(SUMIFS('Accounting data'!G2:G65536,'Accounting data'!H2:H65536,"1227*",'Accounting data'!I2:I65536,{"1*","2*","3*","4*","5*","6*"},'Accounting data'!J2:J65536,"31*",'Accounting data'!K2:K65536,"681*"))+SUM(SUMIFS('Accounting data'!G2:G65536,'Accounting data'!H2:H65536,"1228*",'Accounting data'!I2:I65536,{"1*","2*","3*","4*","5*","6*"},'Accounting data'!J2:J65536,"31*",'Accounting data'!K2:K65536,"681*"))</f>
        <v>0</v>
      </c>
      <c r="I16" s="355"/>
      <c r="J16" s="354">
        <f t="array" ref="J16">SUM(SUMIFS('Accounting data'!G2:G65536,'Accounting data'!H2:H65536,"1310-1399-C*",'Accounting data'!I2:I65536,{"1*","2*","3*","4*","5*","6*"},'Accounting data'!J2:J65536,"31*",'Accounting data'!K2:K65536,"689*"))+SUM(SUMIFS('Accounting data'!G2:G65536,'Accounting data'!H2:H65536,"1227*",'Accounting data'!I2:I65536,{"1*","2*","3*","4*","5*","6*"},'Accounting data'!J2:J65536,"31*",'Accounting data'!K2:K65536,"689*"))+SUM(SUMIFS('Accounting data'!G2:G65536,'Accounting data'!H2:H65536,"1228*",'Accounting data'!I2:I65536,{"1*","2*","3*","4*","5*","6*"},'Accounting data'!J2:J65536,"31*",'Accounting data'!K2:K65536,"689*"))</f>
        <v>0</v>
      </c>
      <c r="K16" s="354">
        <f t="array" ref="K16">SUM(SUMIFS('Accounting data'!G2:G65536,'Accounting data'!H2:H65536,"1310-1399-C*",'Accounting data'!I2:I65536,{"1*","2*","3*","4*","5*","6*"},'Accounting data'!J2:J65536,"31*",'Accounting data'!K2:K65536,"683*"))+SUM(SUMIFS('Accounting data'!G2:G65536,'Accounting data'!H2:H65536,"1227*",'Accounting data'!I2:I65536,{"1*","2*","3*","4*","5*","6*"},'Accounting data'!J2:J65536,"31*",'Accounting data'!K2:K65536,"683*"))+SUM(SUMIFS('Accounting data'!G2:G65536,'Accounting data'!H2:H65536,"1228*",'Accounting data'!I2:I65536,{"1*","2*","3*","4*","5*","6*"},'Accounting data'!J2:J65536,"31*",'Accounting data'!K2:K65536,"683*"))</f>
        <v>0</v>
      </c>
      <c r="L16" s="37"/>
      <c r="M16" s="354">
        <f t="array" ref="M16">SUM(SUMIFS('Accounting data'!G2:G65536,'Accounting data'!H2:H65536,"1310-1399-C*",'Accounting data'!I2:I65536,{"7*","8*","9*"},'Accounting data'!J2:J65536,"31*",'Accounting data'!K2:K65536,"6*"))-SUM(SUMIFS('Accounting data'!G2:G65536,'Accounting data'!H2:H65536,"1310-1399-C*",'Accounting data'!I2:I65536,{"7*","8*","9*"},'Accounting data'!J2:J65536,"31*",'Accounting data'!K2:K65536,"69*"))+SUM(SUMIFS('Accounting data'!G2:G65536,'Accounting data'!H2:H65536,"1227*",'Accounting data'!I2:I65536,{"7*","8*","9*"},'Accounting data'!J2:J65536,"31*",'Accounting data'!K2:K65536,"6*"))-SUM(SUMIFS('Accounting data'!G2:G65536,'Accounting data'!H2:H65536,"1227*",'Accounting data'!I2:I65536,{"7*","8*","9*"},'Accounting data'!J2:J65536,"31*",'Accounting data'!K2:K65536,"69*"))+SUM(SUMIFS('Accounting data'!G2:G65536,'Accounting data'!H2:H65536,"1228*",'Accounting data'!I2:I65536,{"7*","8*","9*"},'Accounting data'!J2:J65536,"31*",'Accounting data'!K2:K65536,"6*"))-SUM(SUMIFS('Accounting data'!G2:G65536,'Accounting data'!H2:H65536,"1228*",'Accounting data'!I2:I65536,{"7*","8*","9*"},'Accounting data'!J2:J65536,"31*",'Accounting data'!K2:K65536,"69*"))</f>
        <v>0</v>
      </c>
      <c r="N16" s="356">
        <f t="shared" si="0"/>
        <v>0</v>
      </c>
      <c r="O16" s="365"/>
    </row>
    <row r="17" spans="1:16" x14ac:dyDescent="0.25">
      <c r="A17" s="366" t="s">
        <v>430</v>
      </c>
      <c r="B17" s="367"/>
      <c r="C17" s="364" t="s">
        <v>38</v>
      </c>
      <c r="D17" s="354">
        <f t="array" ref="D17">SUM(SUMIFS('Accounting data'!G2:G65536,'Accounting data'!H2:H65536,"1310-1399-C*",'Accounting data'!I2:I65536,{"1*","2*","3*","4*","5*","6*"},'Accounting data'!J2:J65536,"34*",'Accounting data'!K2:K65536,"61*"))+SUM(SUMIFS('Accounting data'!G2:G65536,'Accounting data'!H2:H65536,"1227*",'Accounting data'!I2:I65536,{"1*","2*","3*","4*","5*","6*"},'Accounting data'!J2:J65536,"34*",'Accounting data'!K2:K65536,"61*"))+SUM(SUMIFS('Accounting data'!G2:G65536,'Accounting data'!H2:H65536,"1228*",'Accounting data'!I2:I65536,{"1*","2*","3*","4*","5*","6*"},'Accounting data'!J2:J65536,"34*",'Accounting data'!K2:K65536,"61*"))</f>
        <v>0</v>
      </c>
      <c r="E17" s="354">
        <f t="array" ref="E17">SUM(SUMIFS('Accounting data'!G2:G65536,'Accounting data'!H2:H65536,"1310-1399-C*",'Accounting data'!I2:I65536,{"1*","2*","3*","4*","5*","6*"},'Accounting data'!J2:J65536,"34*",'Accounting data'!K2:K65536,"62*"))+SUM(SUMIFS('Accounting data'!G2:G65536,'Accounting data'!H2:H65536,"1227*",'Accounting data'!I2:I65536,{"1*","2*","3*","4*","5*","6*"},'Accounting data'!J2:J65536,"34*",'Accounting data'!K2:K65536,"62*"))+SUM(SUMIFS('Accounting data'!G2:G65536,'Accounting data'!H2:H65536,"1228*",'Accounting data'!I2:I65536,{"1*","2*","3*","4*","5*","6*"},'Accounting data'!J2:J65536,"34*",'Accounting data'!K2:K65536,"62*"))</f>
        <v>0</v>
      </c>
      <c r="F17" s="354">
        <f t="array" ref="F17">SUM(SUMIFS('Accounting data'!G2:G65536,'Accounting data'!H2:H65536,"1310-1399-C*",'Accounting data'!I2:I65536,{"1*","2*","3*","4*","5*","6*"},'Accounting data'!J2:J65536,"34*",'Accounting data'!K2:K65536,"63*"))+SUM(SUMIFS('Accounting data'!G2:G65536,'Accounting data'!H2:H65536,"1227*",'Accounting data'!I2:I65536,{"1*","2*","3*","4*","5*","6*"},'Accounting data'!J2:J65536,"34*",'Accounting data'!K2:K65536,"63*"))+SUM(SUMIFS('Accounting data'!G2:G65536,'Accounting data'!H2:H65536,"1228*",'Accounting data'!I2:I65536,{"1*","2*","3*","4*","5*","6*"},'Accounting data'!J2:J65536,"34*",'Accounting data'!K2:K65536,"63*"))</f>
        <v>0</v>
      </c>
      <c r="G17" s="354">
        <f t="array" ref="G17">SUM(SUMIFS('Accounting data'!G2:G65536,'Accounting data'!H2:H65536,"1310-1399-C*",'Accounting data'!I2:I65536,{"1*","2*","3*","4*","5*","6*"},'Accounting data'!J2:J65536,"34*",'Accounting data'!K2:K65536,"66*"))+SUM(SUMIFS('Accounting data'!G2:G65536,'Accounting data'!H2:H65536,"1227*",'Accounting data'!I2:I65536,{"1*","2*","3*","4*","5*","6*"},'Accounting data'!J2:J65536,"34*",'Accounting data'!K2:K65536,"66*"))+SUM(SUMIFS('Accounting data'!G2:G65536,'Accounting data'!H2:H65536,"1228*",'Accounting data'!I2:I65536,{"1*","2*","3*","4*","5*","6*"},'Accounting data'!J2:J65536,"34*",'Accounting data'!K2:K65536,"66*"))</f>
        <v>0</v>
      </c>
      <c r="H17" s="354">
        <f t="array" ref="H17">SUM(SUMIFS('Accounting data'!G2:G65536,'Accounting data'!H2:H65536,"1310-1399-C*",'Accounting data'!I2:I65536,{"1*","2*","3*","4*","5*","6*"},'Accounting data'!J2:J65536,"34*",'Accounting data'!K2:K65536,"681*"))+SUM(SUMIFS('Accounting data'!G2:G65536,'Accounting data'!H2:H65536,"1227*",'Accounting data'!I2:I65536,{"1*","2*","3*","4*","5*","6*"},'Accounting data'!J2:J65536,"34*",'Accounting data'!K2:K65536,"681*"))+SUM(SUMIFS('Accounting data'!G2:G65536,'Accounting data'!H2:H65536,"1228*",'Accounting data'!I2:I65536,{"1*","2*","3*","4*","5*","6*"},'Accounting data'!J2:J65536,"34*",'Accounting data'!K2:K65536,"681*"))</f>
        <v>0</v>
      </c>
      <c r="I17" s="355"/>
      <c r="J17" s="354">
        <f t="array" ref="J17">SUM(SUMIFS('Accounting data'!G2:G65536,'Accounting data'!H2:H65536,"1310-1399-C*",'Accounting data'!I2:I65536,{"1*","2*","3*","4*","5*","6*"},'Accounting data'!J2:J65536,"34*",'Accounting data'!K2:K65536,"689*"))+SUM(SUMIFS('Accounting data'!G2:G65536,'Accounting data'!H2:H65536,"1227*",'Accounting data'!I2:I65536,{"1*","2*","3*","4*","5*","6*"},'Accounting data'!J2:J65536,"34*",'Accounting data'!K2:K65536,"689*"))+SUM(SUMIFS('Accounting data'!G2:G65536,'Accounting data'!H2:H65536,"1228*",'Accounting data'!I2:I65536,{"1*","2*","3*","4*","5*","6*"},'Accounting data'!J2:J65536,"34*",'Accounting data'!K2:K65536,"689*"))</f>
        <v>0</v>
      </c>
      <c r="K17" s="354">
        <f t="array" ref="K17">SUM(SUMIFS('Accounting data'!G2:G65536,'Accounting data'!H2:H65536,"1310-1399-C*",'Accounting data'!I2:I65536,{"1*","2*","3*","4*","5*","6*"},'Accounting data'!J2:J65536,"34*",'Accounting data'!K2:K65536,"683*"))+SUM(SUMIFS('Accounting data'!G2:G65536,'Accounting data'!H2:H65536,"1227*",'Accounting data'!I2:I65536,{"1*","2*","3*","4*","5*","6*"},'Accounting data'!J2:J65536,"34*",'Accounting data'!K2:K65536,"683*"))+SUM(SUMIFS('Accounting data'!G2:G65536,'Accounting data'!H2:H65536,"1228*",'Accounting data'!I2:I65536,{"1*","2*","3*","4*","5*","6*"},'Accounting data'!J2:J65536,"34*",'Accounting data'!K2:K65536,"683*"))</f>
        <v>0</v>
      </c>
      <c r="L17" s="37"/>
      <c r="M17" s="354">
        <f t="array" ref="M17">SUM(SUMIFS('Accounting data'!G2:G65536,'Accounting data'!H2:H65536,"1310-1399-C*",'Accounting data'!I2:I65536,{"7*","8*","9*"},'Accounting data'!J2:J65536,"34*",'Accounting data'!K2:K65536,"6*"))-SUM(SUMIFS('Accounting data'!G2:G65536,'Accounting data'!H2:H65536,"1310-1399-C*",'Accounting data'!I2:I65536,{"7*","8*","9*"},'Accounting data'!J2:J65536,"34*",'Accounting data'!K2:K65536,"69*"))+SUM(SUMIFS('Accounting data'!G2:G65536,'Accounting data'!H2:H65536,"1227*",'Accounting data'!I2:I65536,{"7*","8*","9*"},'Accounting data'!J2:J65536,"34*",'Accounting data'!K2:K65536,"6*"))-SUM(SUMIFS('Accounting data'!G2:G65536,'Accounting data'!H2:H65536,"1227*",'Accounting data'!I2:I65536,{"7*","8*","9*"},'Accounting data'!J2:J65536,"34*",'Accounting data'!K2:K65536,"69*"))+SUM(SUMIFS('Accounting data'!G2:G65536,'Accounting data'!H2:H65536,"1228*",'Accounting data'!I2:I65536,{"7*","8*","9*"},'Accounting data'!J2:J65536,"34*",'Accounting data'!K2:K65536,"6*"))-SUM(SUMIFS('Accounting data'!G2:G65536,'Accounting data'!H2:H65536,"1228*",'Accounting data'!I2:I65536,{"7*","8*","9*"},'Accounting data'!J2:J65536,"34*",'Accounting data'!K2:K65536,"69*"))</f>
        <v>0</v>
      </c>
      <c r="N17" s="356">
        <f t="shared" si="0"/>
        <v>0</v>
      </c>
      <c r="O17" s="365"/>
    </row>
    <row r="18" spans="1:16" x14ac:dyDescent="0.25">
      <c r="A18" s="368" t="s">
        <v>94</v>
      </c>
      <c r="B18" s="369"/>
      <c r="C18" s="370" t="s">
        <v>40</v>
      </c>
      <c r="D18" s="354">
        <f t="array" ref="D18">SUM(SUMIFS('Accounting data'!G2:G65536,'Accounting data'!H2:H65536,"1310-1399-C*",'Accounting data'!I2:I65536,{"1*","2*","3*","4*","5*","6*"},'Accounting data'!K2:K65536,"61*"))+SUM(SUMIFS('Accounting data'!G2:G65536,'Accounting data'!H2:H65536,"1227*",'Accounting data'!I2:I65536,{"1*","2*","3*","4*","5*","6*"},'Accounting data'!K2:K65536,"61*"))+SUM(SUMIFS('Accounting data'!G2:G65536,'Accounting data'!H2:H65536,"1228*",'Accounting data'!I2:I65536,{"1*","2*","3*","4*","5*","6*"},'Accounting data'!K2:K65536,"61*"))-SUM(D10:D17)</f>
        <v>0</v>
      </c>
      <c r="E18" s="354">
        <f t="array" ref="E18">SUM(SUMIFS('Accounting data'!G2:G65536,'Accounting data'!H2:H65536,"1310-1399-C*",'Accounting data'!I2:I65536,{"1*","2*","3*","4*","5*","6*"},'Accounting data'!K2:K65536,"62*"))+SUM(SUMIFS('Accounting data'!G2:G65536,'Accounting data'!H2:H65536,"1227*",'Accounting data'!I2:I65536,{"1*","2*","3*","4*","5*","6*"},'Accounting data'!K2:K65536,"62*"))+SUM(SUMIFS('Accounting data'!G2:G65536,'Accounting data'!H2:H65536,"1228*",'Accounting data'!I2:I65536,{"1*","2*","3*","4*","5*","6*"},'Accounting data'!K2:K65536,"62*"))-SUM(E10:E17)</f>
        <v>0</v>
      </c>
      <c r="F18" s="354">
        <f t="array" ref="F18">SUM(SUMIFS('Accounting data'!G2:G65536,'Accounting data'!H2:H65536,"1310-1399-C*",'Accounting data'!I2:I65536,{"1*","2*","3*","4*","5*","6*"},'Accounting data'!K2:K65536,"63*"))+SUM(SUMIFS('Accounting data'!G2:G65536,'Accounting data'!H2:H65536,"1227*",'Accounting data'!I2:I65536,{"1*","2*","3*","4*","5*","6*"},'Accounting data'!K2:K65536,"63*"))+SUM(SUMIFS('Accounting data'!G2:G65536,'Accounting data'!H2:H65536,"1228*",'Accounting data'!I2:I65536,{"1*","2*","3*","4*","5*","6*"},'Accounting data'!K2:K65536,"63*"))-SUM(F10:F17)</f>
        <v>0</v>
      </c>
      <c r="G18" s="354">
        <f t="array" ref="G18">SUM(SUMIFS('Accounting data'!G2:G65536,'Accounting data'!H2:H65536,"1310-1399-C*",'Accounting data'!I2:I65536,{"1*","2*","3*","4*","5*","6*"},'Accounting data'!K2:K65536,"66*"))+SUM(SUMIFS('Accounting data'!G2:G65536,'Accounting data'!H2:H65536,"1227*",'Accounting data'!I2:I65536,{"1*","2*","3*","4*","5*","6*"},'Accounting data'!K2:K65536,"66*"))+SUM(SUMIFS('Accounting data'!G2:G65536,'Accounting data'!H2:H65536,"1228*",'Accounting data'!I2:I65536,{"1*","2*","3*","4*","5*","6*"},'Accounting data'!K2:K65536,"66*"))-SUM(G10:G17)</f>
        <v>0</v>
      </c>
      <c r="H18" s="354">
        <f t="array" ref="H18">SUM(SUMIFS('Accounting data'!G2:G65536,'Accounting data'!H2:H65536,"1310-1399-C*",'Accounting data'!I2:I65536,{"1*","2*","3*","4*","5*","6*"},'Accounting data'!K2:K65536,"681*"))+SUM(SUMIFS('Accounting data'!G2:G65536,'Accounting data'!H2:H65536,"1227*",'Accounting data'!I2:I65536,{"1*","2*","3*","4*","5*","6*"},'Accounting data'!K2:K65536,"681*"))+SUM(SUMIFS('Accounting data'!G2:G65536,'Accounting data'!H2:H65536,"1228*",'Accounting data'!I2:I65536,{"1*","2*","3*","4*","5*","6*"},'Accounting data'!K2:K65536,"681*"))-SUM(H10:H17)</f>
        <v>0</v>
      </c>
      <c r="I18" s="355"/>
      <c r="J18" s="354">
        <f t="array" ref="J18">SUM(SUMIFS('Accounting data'!G2:G65536,'Accounting data'!H2:H65536,"1310-1399-C*",'Accounting data'!I2:I65536,{"1*","2*","3*","4*","5*","6*"},'Accounting data'!K2:K65536,"689*"))+SUM(SUMIFS('Accounting data'!G2:G65536,'Accounting data'!H2:H65536,"1227*",'Accounting data'!I2:I65536,{"1*","2*","3*","4*","5*","6*"},'Accounting data'!K2:K65536,"689*"))+SUM(SUMIFS('Accounting data'!G2:G65536,'Accounting data'!H2:H65536,"1228*",'Accounting data'!I2:I65536,{"1*","2*","3*","4*","5*","6*"},'Accounting data'!K2:K65536,"689*"))-SUM(J10:J17)</f>
        <v>0</v>
      </c>
      <c r="K18" s="354">
        <f t="array" ref="K18">SUM(SUMIFS('Accounting data'!G2:G65536,'Accounting data'!H2:H65536,"1310-1399-C*",'Accounting data'!I2:I65536,{"1*","2*","3*","4*","5*","6*"},'Accounting data'!K2:K65536,"683*"))+SUM(SUMIFS('Accounting data'!G2:G65536,'Accounting data'!H2:H65536,"1227*",'Accounting data'!I2:I65536,{"1*","2*","3*","4*","5*","6*"},'Accounting data'!K2:K65536,"683*"))+SUM(SUMIFS('Accounting data'!G2:G65536,'Accounting data'!H2:H65536,"1228*",'Accounting data'!I2:I65536,{"1*","2*","3*","4*","5*","6*"},'Accounting data'!K2:K65536,"683*"))-SUM(K10:K17)</f>
        <v>0</v>
      </c>
      <c r="L18" s="37"/>
      <c r="M18" s="354">
        <f t="array" ref="M18">SUM(SUMIFS('Accounting data'!G2:G65536,'Accounting data'!H2:H65536,"1310-1399-C*",'Accounting data'!I2:I65536,{"7*","8*","9*"},'Accounting data'!K2:K65536,"6*"))-SUM(SUMIFS('Accounting data'!G2:G65536,'Accounting data'!H2:H65536,"1310-1399-C*",'Accounting data'!I2:I65536,{"7*","8*","9*"},'Accounting data'!K2:K65536,"69*"))+SUM(SUMIFS('Accounting data'!G2:G65536,'Accounting data'!H2:H65536,"1227*",'Accounting data'!I2:I65536,{"7*","8*","9*"},'Accounting data'!K2:K65536,"6*"))-SUM(SUMIFS('Accounting data'!G2:G65536,'Accounting data'!H2:H65536,"1227*",'Accounting data'!I2:I65536,{"7*","8*","9*"},'Accounting data'!K2:K65536,"69*"))+SUM(SUMIFS('Accounting data'!G2:G65536,'Accounting data'!H2:H65536,"1228*",'Accounting data'!I2:I65536,{"7*","8*","9*"},'Accounting data'!K2:K65536,"6*"))-SUM(SUMIFS('Accounting data'!G2:G65536,'Accounting data'!H2:H65536,"1228*",'Accounting data'!I2:I65536,{"7*","8*","9*"},'Accounting data'!K2:K65536,"69*"))-SUM(M10:M17)</f>
        <v>0</v>
      </c>
      <c r="N18" s="356">
        <f t="shared" si="0"/>
        <v>0</v>
      </c>
      <c r="O18" s="365"/>
    </row>
    <row r="19" spans="1:16" x14ac:dyDescent="0.25">
      <c r="A19" s="371" t="s">
        <v>431</v>
      </c>
      <c r="B19" s="372"/>
      <c r="C19" s="373" t="s">
        <v>42</v>
      </c>
      <c r="D19" s="374">
        <f>SUM(D10:D18)</f>
        <v>0</v>
      </c>
      <c r="E19" s="374">
        <f t="shared" ref="E19:M19" si="1">SUM(E10:E18)</f>
        <v>0</v>
      </c>
      <c r="F19" s="374">
        <f t="shared" si="1"/>
        <v>0</v>
      </c>
      <c r="G19" s="374">
        <f t="shared" si="1"/>
        <v>0</v>
      </c>
      <c r="H19" s="374">
        <f t="shared" si="1"/>
        <v>0</v>
      </c>
      <c r="I19" s="374">
        <f t="shared" si="1"/>
        <v>0</v>
      </c>
      <c r="J19" s="374">
        <f t="shared" si="1"/>
        <v>0</v>
      </c>
      <c r="K19" s="374">
        <f t="shared" si="1"/>
        <v>0</v>
      </c>
      <c r="L19" s="374">
        <f t="shared" si="1"/>
        <v>0</v>
      </c>
      <c r="M19" s="374">
        <f t="shared" si="1"/>
        <v>0</v>
      </c>
      <c r="N19" s="356">
        <f t="shared" si="0"/>
        <v>0</v>
      </c>
      <c r="O19" s="365"/>
    </row>
    <row r="20" spans="1:16" x14ac:dyDescent="0.25">
      <c r="H20" s="325"/>
      <c r="I20" s="325"/>
      <c r="J20" s="325"/>
      <c r="K20" s="325"/>
      <c r="L20" s="375"/>
    </row>
    <row r="21" spans="1:16" ht="34.5" customHeight="1" x14ac:dyDescent="0.25">
      <c r="A21" s="905" t="s">
        <v>432</v>
      </c>
      <c r="B21" s="906"/>
      <c r="C21" s="907"/>
      <c r="D21" s="613" t="s">
        <v>433</v>
      </c>
      <c r="E21" s="38" t="s">
        <v>434</v>
      </c>
      <c r="G21" s="376" t="s">
        <v>435</v>
      </c>
      <c r="H21" s="377"/>
      <c r="I21" s="377"/>
      <c r="J21" s="378"/>
      <c r="L21" s="379" t="s">
        <v>436</v>
      </c>
      <c r="M21" s="380"/>
      <c r="N21" s="380"/>
      <c r="O21" s="381"/>
    </row>
    <row r="22" spans="1:16" x14ac:dyDescent="0.25">
      <c r="A22" s="382" t="s">
        <v>437</v>
      </c>
      <c r="B22" s="383"/>
      <c r="C22" s="384"/>
      <c r="D22" s="39"/>
      <c r="E22" s="40"/>
      <c r="G22" s="385" t="s">
        <v>438</v>
      </c>
      <c r="H22" s="386"/>
      <c r="I22" s="387"/>
      <c r="J22" s="39"/>
      <c r="L22" s="385" t="s">
        <v>439</v>
      </c>
      <c r="M22" s="386"/>
      <c r="N22" s="387"/>
      <c r="O22" s="41">
        <f>ROUND(SUM(SUMIFS('Accounting data'!G2:G65536,'Accounting data'!H2:H65536,"1310-1399-C*",'Accounting data'!K2:K65536,"69*")),0)+ROUND(SUM(SUMIFS('Accounting data'!G2:G65536,'Accounting data'!H2:H65536,"1227*",'Accounting data'!K2:K65536,"69*")),0)+ROUND(SUM(SUMIFS('Accounting data'!G2:G65536,'Accounting data'!H2:H65536,"1228*",'Accounting data'!K2:K65536,"69*")),0)</f>
        <v>0</v>
      </c>
    </row>
    <row r="23" spans="1:16" x14ac:dyDescent="0.25">
      <c r="A23" s="385" t="s">
        <v>440</v>
      </c>
      <c r="B23" s="386"/>
      <c r="C23" s="387"/>
      <c r="D23" s="39"/>
      <c r="E23" s="50"/>
      <c r="G23" s="388" t="s">
        <v>441</v>
      </c>
      <c r="H23" s="389"/>
      <c r="I23" s="387"/>
      <c r="J23" s="39"/>
    </row>
    <row r="24" spans="1:16" x14ac:dyDescent="0.25">
      <c r="A24" s="385" t="s">
        <v>442</v>
      </c>
      <c r="B24" s="386"/>
      <c r="C24" s="390"/>
      <c r="D24" s="39"/>
      <c r="E24" s="548"/>
      <c r="G24" s="584" t="s">
        <v>443</v>
      </c>
      <c r="H24" s="585"/>
      <c r="I24" s="387"/>
      <c r="J24" s="39"/>
      <c r="L24" s="376" t="s">
        <v>444</v>
      </c>
      <c r="M24" s="377"/>
      <c r="N24" s="377"/>
      <c r="O24" s="378"/>
    </row>
    <row r="25" spans="1:16" x14ac:dyDescent="0.25">
      <c r="A25" s="385" t="s">
        <v>445</v>
      </c>
      <c r="B25" s="386"/>
      <c r="C25" s="390"/>
      <c r="D25" s="39"/>
      <c r="E25" s="548"/>
      <c r="G25" s="584" t="s">
        <v>446</v>
      </c>
      <c r="H25" s="585"/>
      <c r="I25" s="387"/>
      <c r="J25" s="39"/>
      <c r="L25" s="392" t="s">
        <v>447</v>
      </c>
      <c r="M25" s="393"/>
      <c r="N25" s="390"/>
      <c r="O25" s="39"/>
    </row>
    <row r="26" spans="1:16" x14ac:dyDescent="0.25">
      <c r="A26" s="385" t="s">
        <v>448</v>
      </c>
      <c r="B26" s="386"/>
      <c r="C26" s="390"/>
      <c r="D26" s="39"/>
      <c r="E26" s="548"/>
      <c r="G26" s="584" t="s">
        <v>449</v>
      </c>
      <c r="H26" s="585"/>
      <c r="I26" s="387"/>
      <c r="J26" s="39"/>
      <c r="L26" s="392" t="s">
        <v>450</v>
      </c>
      <c r="M26" s="393"/>
      <c r="N26" s="390"/>
      <c r="O26" s="39"/>
    </row>
    <row r="27" spans="1:16" x14ac:dyDescent="0.25">
      <c r="A27" s="394" t="s">
        <v>451</v>
      </c>
      <c r="B27" s="395"/>
      <c r="C27" s="396"/>
      <c r="D27" s="39"/>
      <c r="E27" s="40"/>
      <c r="L27" s="392" t="s">
        <v>452</v>
      </c>
      <c r="M27" s="393"/>
      <c r="N27" s="390"/>
      <c r="O27" s="39"/>
    </row>
    <row r="28" spans="1:16" x14ac:dyDescent="0.25">
      <c r="A28" s="397" t="s">
        <v>453</v>
      </c>
      <c r="B28" s="398"/>
      <c r="C28" s="399"/>
      <c r="D28" s="42"/>
      <c r="E28" s="391">
        <f>D28</f>
        <v>0</v>
      </c>
      <c r="L28" s="326"/>
      <c r="M28" s="326"/>
      <c r="N28" s="326"/>
      <c r="O28" s="43"/>
    </row>
    <row r="29" spans="1:16" x14ac:dyDescent="0.25">
      <c r="A29" s="908"/>
      <c r="B29" s="908"/>
      <c r="C29" s="908"/>
      <c r="D29" s="400"/>
    </row>
    <row r="30" spans="1:16" ht="15" customHeight="1" x14ac:dyDescent="0.25">
      <c r="A30" s="335"/>
      <c r="B30" s="335"/>
      <c r="C30" s="335"/>
      <c r="D30" s="335"/>
      <c r="G30" s="376" t="s">
        <v>454</v>
      </c>
      <c r="H30" s="377"/>
      <c r="I30" s="377"/>
      <c r="J30" s="378"/>
      <c r="L30" s="932" t="str">
        <f>IF(OR(D19&lt;0,E19&lt;0,F19&lt;0,G19&lt;0,H19&lt;0,J19&lt;0,K19&lt;0,L19&lt;0,M19&lt;0,N19&lt;0),"Line 9 in the current expenses table should not contain negative amounts. Click the instruction link in cell A18 for more information.","")</f>
        <v/>
      </c>
      <c r="M30" s="932" t="str">
        <f t="shared" ref="M30:P32" si="2">IF(OR(E19&lt;0,F19&lt;0,G19&lt;0,H19&lt;0,I19&lt;0,K19&lt;0,L19&lt;0,M19&lt;0,N19&lt;0,O19&lt;0),"Table A, line 9 should not contain negative amounts. Click the the instruction link in cell A18 for more information.","")</f>
        <v/>
      </c>
      <c r="N30" s="932" t="str">
        <f t="shared" si="2"/>
        <v/>
      </c>
      <c r="O30" s="932" t="str">
        <f t="shared" si="2"/>
        <v/>
      </c>
      <c r="P30" s="932" t="str">
        <f t="shared" si="2"/>
        <v/>
      </c>
    </row>
    <row r="31" spans="1:16" ht="15" customHeight="1" x14ac:dyDescent="0.25">
      <c r="E31" s="401"/>
      <c r="G31" s="402" t="s">
        <v>455</v>
      </c>
      <c r="H31" s="386"/>
      <c r="I31" s="386"/>
      <c r="J31" s="403">
        <f>ROUND(SUMIFS('Accounting data'!G2:G65536,'Accounting data'!H2:H65536,"1310-1399-C*",'Accounting data'!K2:K65536,"685*"),0)</f>
        <v>0</v>
      </c>
      <c r="L31" s="932" t="str">
        <f>IF(OR(D20&lt;0,E20&lt;0,F20&lt;0,G20&lt;0,H20&lt;0,J20&lt;0,K20&lt;0,L20&lt;0,M20&lt;0,N20&lt;0),"Table A, line 9 should not contain negative amounts. Click the the instruction link in cell A18 for more information.","")</f>
        <v/>
      </c>
      <c r="M31" s="932" t="str">
        <f t="shared" si="2"/>
        <v/>
      </c>
      <c r="N31" s="932" t="str">
        <f t="shared" si="2"/>
        <v/>
      </c>
      <c r="O31" s="932" t="str">
        <f t="shared" si="2"/>
        <v/>
      </c>
      <c r="P31" s="932" t="str">
        <f t="shared" si="2"/>
        <v/>
      </c>
    </row>
    <row r="32" spans="1:16" ht="15" customHeight="1" x14ac:dyDescent="0.25">
      <c r="E32" s="357"/>
      <c r="G32" s="402" t="s">
        <v>456</v>
      </c>
      <c r="H32" s="386"/>
      <c r="I32" s="386"/>
      <c r="J32" s="39"/>
      <c r="L32" s="932" t="str">
        <f>IF(OR(D21&lt;0,E21&lt;0,F21&lt;0,G21&lt;0,H21&lt;0,J21&lt;0,K21&lt;0,L21&lt;0,M21&lt;0,N21&lt;0),"Table A, line 9 should not contain negative amounts. Click the the instruction link in cell A18 for more information.","")</f>
        <v/>
      </c>
      <c r="M32" s="932" t="str">
        <f t="shared" si="2"/>
        <v/>
      </c>
      <c r="N32" s="932" t="str">
        <f t="shared" si="2"/>
        <v/>
      </c>
      <c r="O32" s="932" t="str">
        <f t="shared" si="2"/>
        <v/>
      </c>
      <c r="P32" s="932" t="str">
        <f t="shared" si="2"/>
        <v/>
      </c>
    </row>
    <row r="33" spans="1:28" ht="12.75" customHeight="1" x14ac:dyDescent="0.25">
      <c r="E33" s="404"/>
      <c r="K33" s="405"/>
      <c r="L33" s="44"/>
      <c r="M33" s="44"/>
      <c r="N33" s="45"/>
      <c r="O33" s="44"/>
      <c r="AB33" s="332" t="s">
        <v>457</v>
      </c>
    </row>
    <row r="34" spans="1:28" ht="11.25" customHeight="1" x14ac:dyDescent="0.25">
      <c r="E34" s="406"/>
      <c r="G34" s="326"/>
      <c r="M34" s="407"/>
      <c r="N34" s="408"/>
      <c r="O34" s="408"/>
    </row>
    <row r="35" spans="1:28" ht="37.5" customHeight="1" x14ac:dyDescent="0.25">
      <c r="A35" s="912" t="s">
        <v>458</v>
      </c>
      <c r="B35" s="913"/>
      <c r="C35" s="914"/>
      <c r="D35" s="934" t="s">
        <v>459</v>
      </c>
      <c r="E35" s="936" t="s">
        <v>1299</v>
      </c>
      <c r="F35" s="936" t="s">
        <v>1300</v>
      </c>
      <c r="G35" s="934" t="s">
        <v>460</v>
      </c>
      <c r="J35" s="376" t="s">
        <v>461</v>
      </c>
      <c r="K35" s="62"/>
      <c r="L35" s="62"/>
      <c r="M35" s="62"/>
      <c r="N35" s="63"/>
      <c r="R35" s="325"/>
      <c r="V35" s="331"/>
    </row>
    <row r="36" spans="1:28" ht="25.5" customHeight="1" x14ac:dyDescent="0.25">
      <c r="A36" s="915"/>
      <c r="B36" s="825"/>
      <c r="C36" s="916"/>
      <c r="D36" s="935"/>
      <c r="E36" s="937"/>
      <c r="F36" s="937"/>
      <c r="G36" s="935"/>
      <c r="J36" s="917" t="s">
        <v>462</v>
      </c>
      <c r="K36" s="918"/>
      <c r="L36" s="918"/>
      <c r="M36" s="919"/>
      <c r="N36" s="413"/>
      <c r="Q36" s="46"/>
      <c r="R36" s="47"/>
      <c r="V36" s="331"/>
    </row>
    <row r="37" spans="1:28" ht="12.75" customHeight="1" x14ac:dyDescent="0.25">
      <c r="A37" s="48" t="s">
        <v>463</v>
      </c>
      <c r="B37" s="49"/>
      <c r="C37" s="49"/>
      <c r="D37" s="50"/>
      <c r="E37" s="50"/>
      <c r="F37" s="355"/>
      <c r="G37" s="355"/>
      <c r="J37" s="917" t="s">
        <v>464</v>
      </c>
      <c r="K37" s="918"/>
      <c r="L37" s="918"/>
      <c r="M37" s="919"/>
      <c r="N37" s="413"/>
      <c r="R37" s="325"/>
      <c r="V37" s="331"/>
    </row>
    <row r="38" spans="1:28" ht="12.75" customHeight="1" x14ac:dyDescent="0.25">
      <c r="A38" s="48" t="s">
        <v>465</v>
      </c>
      <c r="B38" s="49"/>
      <c r="C38" s="49"/>
      <c r="D38" s="50"/>
      <c r="E38" s="50"/>
      <c r="F38" s="50"/>
      <c r="G38" s="374">
        <f>ROUND(D38-E38-F38,0)</f>
        <v>0</v>
      </c>
      <c r="J38" s="917" t="s">
        <v>466</v>
      </c>
      <c r="K38" s="918"/>
      <c r="L38" s="918"/>
      <c r="M38" s="919"/>
      <c r="N38" s="413"/>
      <c r="R38" s="325"/>
      <c r="V38" s="331"/>
    </row>
    <row r="39" spans="1:28" ht="12.75" customHeight="1" x14ac:dyDescent="0.25">
      <c r="A39" s="48" t="s">
        <v>467</v>
      </c>
      <c r="B39" s="49"/>
      <c r="C39" s="49"/>
      <c r="D39" s="50"/>
      <c r="E39" s="50"/>
      <c r="F39" s="50"/>
      <c r="G39" s="374">
        <f>ROUND(D39-E39-F39,0)</f>
        <v>0</v>
      </c>
      <c r="J39" s="909" t="s">
        <v>468</v>
      </c>
      <c r="K39" s="910"/>
      <c r="L39" s="910"/>
      <c r="M39" s="911"/>
      <c r="N39" s="414"/>
      <c r="R39" s="325"/>
      <c r="V39" s="331"/>
    </row>
    <row r="40" spans="1:28" ht="12.75" customHeight="1" x14ac:dyDescent="0.25">
      <c r="A40" s="48" t="s">
        <v>469</v>
      </c>
      <c r="B40" s="49"/>
      <c r="C40" s="49"/>
      <c r="D40" s="50"/>
      <c r="E40" s="50"/>
      <c r="F40" s="50"/>
      <c r="G40" s="374">
        <f>ROUND(D40-E40-F40,0)</f>
        <v>0</v>
      </c>
      <c r="J40" s="909" t="s">
        <v>470</v>
      </c>
      <c r="K40" s="910"/>
      <c r="L40" s="910"/>
      <c r="M40" s="911"/>
      <c r="N40" s="415">
        <f>ROUND(N36-N37-N39,0)</f>
        <v>0</v>
      </c>
      <c r="R40" s="325"/>
      <c r="V40" s="331"/>
    </row>
    <row r="41" spans="1:28" ht="12.75" customHeight="1" x14ac:dyDescent="0.25">
      <c r="A41" s="48" t="s">
        <v>471</v>
      </c>
      <c r="B41" s="49"/>
      <c r="C41" s="49"/>
      <c r="D41" s="50"/>
      <c r="E41" s="50"/>
      <c r="F41" s="50"/>
      <c r="G41" s="374">
        <f>ROUND(D41-E41-F41,0)</f>
        <v>0</v>
      </c>
    </row>
    <row r="42" spans="1:28" ht="12.75" customHeight="1" x14ac:dyDescent="0.25">
      <c r="A42" s="51" t="s">
        <v>472</v>
      </c>
      <c r="B42" s="49"/>
      <c r="C42" s="49"/>
      <c r="D42" s="50"/>
      <c r="E42" s="50"/>
      <c r="F42" s="50"/>
      <c r="G42" s="374">
        <f>ROUND(D42-E42-F42,0)</f>
        <v>0</v>
      </c>
    </row>
    <row r="43" spans="1:28" ht="12.75" customHeight="1" x14ac:dyDescent="0.25">
      <c r="A43" s="900" t="s">
        <v>473</v>
      </c>
      <c r="B43" s="901"/>
      <c r="C43" s="902"/>
      <c r="D43" s="409">
        <f>ROUND(SUM(D37:D42),0)</f>
        <v>0</v>
      </c>
      <c r="E43" s="409">
        <f>ROUND(SUM(E37:E42),0)</f>
        <v>0</v>
      </c>
      <c r="F43" s="409">
        <f>ROUND(SUM(F37:F42),0)</f>
        <v>0</v>
      </c>
      <c r="G43" s="409">
        <f>ROUND(SUM(G37:G42),0)</f>
        <v>0</v>
      </c>
    </row>
    <row r="44" spans="1:28" x14ac:dyDescent="0.25">
      <c r="F44" s="410"/>
    </row>
    <row r="45" spans="1:28" x14ac:dyDescent="0.25">
      <c r="E45" s="692" t="s">
        <v>1339</v>
      </c>
      <c r="F45" s="52">
        <f>ROUND(N19+O22+O25+O26+O27+J31+J32,0)</f>
        <v>0</v>
      </c>
      <c r="H45" s="903" t="str">
        <f>IF(OR(G37&lt;0,G38&lt;0,G39&lt;0,G40&lt;0,G41&lt;0,G42&lt;0,G43&lt;0),"Column G should not contain negative amounts. Click the instruction link in cell G36 for more information.","")</f>
        <v/>
      </c>
      <c r="I45" s="904"/>
      <c r="J45" s="904"/>
      <c r="K45" s="904"/>
    </row>
    <row r="46" spans="1:28" ht="12.75" customHeight="1" x14ac:dyDescent="0.25">
      <c r="A46" s="411"/>
      <c r="B46" s="411"/>
      <c r="C46" s="412"/>
      <c r="F46" s="903" t="str">
        <f>IF(F45&lt;&gt;F43,"Total in cell F43 should agree to amount in cell F45","")</f>
        <v/>
      </c>
      <c r="G46" s="903"/>
      <c r="H46" s="904"/>
      <c r="I46" s="904"/>
      <c r="J46" s="904"/>
      <c r="K46" s="904"/>
    </row>
    <row r="47" spans="1:28" ht="12.75" customHeight="1" x14ac:dyDescent="0.25">
      <c r="A47" s="411"/>
      <c r="B47" s="411"/>
      <c r="C47" s="412"/>
      <c r="F47" s="903"/>
      <c r="G47" s="903"/>
      <c r="H47" s="904"/>
      <c r="I47" s="904"/>
      <c r="J47" s="904"/>
      <c r="K47" s="904"/>
    </row>
    <row r="48" spans="1:28" ht="12.75" customHeight="1" x14ac:dyDescent="0.25">
      <c r="A48" s="412"/>
      <c r="B48" s="412"/>
      <c r="C48" s="412"/>
      <c r="F48" s="903"/>
      <c r="G48" s="903"/>
      <c r="H48" s="904"/>
      <c r="I48" s="904"/>
      <c r="J48" s="904"/>
      <c r="K48" s="904"/>
    </row>
    <row r="49" spans="1:7" ht="12.75" customHeight="1" x14ac:dyDescent="0.25">
      <c r="A49" s="412"/>
      <c r="B49" s="412"/>
      <c r="C49" s="412"/>
      <c r="F49" s="903"/>
      <c r="G49" s="903"/>
    </row>
  </sheetData>
  <sheetProtection sheet="1" objects="1" scenarios="1"/>
  <mergeCells count="22">
    <mergeCell ref="B1:E1"/>
    <mergeCell ref="H1:I1"/>
    <mergeCell ref="D35:D36"/>
    <mergeCell ref="E35:E36"/>
    <mergeCell ref="F35:F36"/>
    <mergeCell ref="G35:G36"/>
    <mergeCell ref="A5:A6"/>
    <mergeCell ref="D5:L5"/>
    <mergeCell ref="N5:N9"/>
    <mergeCell ref="A8:C9"/>
    <mergeCell ref="L30:P32"/>
    <mergeCell ref="A43:C43"/>
    <mergeCell ref="H45:K48"/>
    <mergeCell ref="F46:G49"/>
    <mergeCell ref="A21:C21"/>
    <mergeCell ref="A29:C29"/>
    <mergeCell ref="J40:M40"/>
    <mergeCell ref="A35:C36"/>
    <mergeCell ref="J36:M36"/>
    <mergeCell ref="J37:M37"/>
    <mergeCell ref="J38:M38"/>
    <mergeCell ref="J39:M39"/>
  </mergeCells>
  <conditionalFormatting sqref="B1:E1">
    <cfRule type="expression" dxfId="35" priority="42" stopIfTrue="1">
      <formula>B1=""</formula>
    </cfRule>
  </conditionalFormatting>
  <conditionalFormatting sqref="D22:D28">
    <cfRule type="expression" dxfId="34" priority="24" stopIfTrue="1">
      <formula>D22=""</formula>
    </cfRule>
  </conditionalFormatting>
  <conditionalFormatting sqref="D37:E42 F38:F42">
    <cfRule type="expression" dxfId="33" priority="5" stopIfTrue="1">
      <formula>D37=""</formula>
    </cfRule>
  </conditionalFormatting>
  <conditionalFormatting sqref="E22:E27">
    <cfRule type="expression" dxfId="32" priority="18" stopIfTrue="1">
      <formula>E22=""</formula>
    </cfRule>
  </conditionalFormatting>
  <conditionalFormatting sqref="G38:G42">
    <cfRule type="cellIs" dxfId="31" priority="8" stopIfTrue="1" operator="lessThan">
      <formula>0</formula>
    </cfRule>
  </conditionalFormatting>
  <conditionalFormatting sqref="H1:I1">
    <cfRule type="expression" dxfId="30" priority="41" stopIfTrue="1">
      <formula>H1=""</formula>
    </cfRule>
  </conditionalFormatting>
  <conditionalFormatting sqref="J22:J26">
    <cfRule type="expression" dxfId="29" priority="13" stopIfTrue="1">
      <formula>J22=""</formula>
    </cfRule>
  </conditionalFormatting>
  <conditionalFormatting sqref="J32">
    <cfRule type="expression" dxfId="28" priority="12" stopIfTrue="1">
      <formula>J32=""</formula>
    </cfRule>
  </conditionalFormatting>
  <conditionalFormatting sqref="L1">
    <cfRule type="expression" dxfId="27" priority="40" stopIfTrue="1">
      <formula>L1=""</formula>
    </cfRule>
  </conditionalFormatting>
  <conditionalFormatting sqref="L10:L18">
    <cfRule type="expression" dxfId="26" priority="31" stopIfTrue="1">
      <formula>L10=""</formula>
    </cfRule>
  </conditionalFormatting>
  <conditionalFormatting sqref="N36:N39">
    <cfRule type="expression" dxfId="25" priority="1" stopIfTrue="1">
      <formula>N36=""</formula>
    </cfRule>
  </conditionalFormatting>
  <conditionalFormatting sqref="O25:O27">
    <cfRule type="expression" dxfId="24" priority="9" stopIfTrue="1">
      <formula>O25=""</formula>
    </cfRule>
  </conditionalFormatting>
  <dataValidations count="148">
    <dataValidation type="whole" allowBlank="1" showInputMessage="1" showErrorMessage="1" errorTitle="Input error" error="The amount entered should be rounded to the nearest dollar and should not exceed the remaining Other funds balance (column D minus columns E and F)." sqref="JC42 SY42 ACU42 AMQ42 AWM42 BGI42 BQE42 CAA42 CJW42 CTS42 DDO42 DNK42 DXG42 EHC42 EQY42 FAU42 FKQ42 FUM42 GEI42 GOE42 GYA42 HHW42 HRS42 IBO42 ILK42 IVG42 JFC42 JOY42 JYU42 KIQ42 KSM42 LCI42 LME42 LWA42 MFW42 MPS42 MZO42 NJK42 NTG42 ODC42 OMY42 OWU42 PGQ42 PQM42 QAI42 QKE42 QUA42 RDW42 RNS42 RXO42 SHK42 SRG42 TBC42 TKY42 TUU42 UEQ42 UOM42 UYI42 VIE42 VSA42 WBW42 WLS42 WVO42 G65578 JC65578 SY65578 ACU65578 AMQ65578 AWM65578 BGI65578 BQE65578 CAA65578 CJW65578 CTS65578 DDO65578 DNK65578 DXG65578 EHC65578 EQY65578 FAU65578 FKQ65578 FUM65578 GEI65578 GOE65578 GYA65578 HHW65578 HRS65578 IBO65578 ILK65578 IVG65578 JFC65578 JOY65578 JYU65578 KIQ65578 KSM65578 LCI65578 LME65578 LWA65578 MFW65578" xr:uid="{00000000-0002-0000-0B00-000000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MPS65578 MZO65578 NJK65578 NTG65578 ODC65578 OMY65578 OWU65578 PGQ65578 PQM65578 QAI65578 QKE65578 QUA65578 RDW65578 RNS65578 RXO65578 SHK65578 SRG65578 TBC65578 TKY65578 TUU65578 UEQ65578 UOM65578 UYI65578 VIE65578 VSA65578 WBW65578 WLS65578 WVO65578 G131114 JC131114 SY131114 ACU131114 AMQ131114 AWM131114 BGI131114 BQE131114 CAA131114 CJW131114 CTS131114 DDO131114 DNK131114 DXG131114 EHC131114 EQY131114 FAU131114 FKQ131114 FUM131114 GEI131114 GOE131114 GYA131114 HHW131114 HRS131114 IBO131114 ILK131114 IVG131114 JFC131114 JOY131114 JYU131114 KIQ131114 KSM131114 LCI131114 LME131114 LWA131114 MFW131114 MPS131114 MZO131114 NJK131114 NTG131114 ODC131114 OMY131114 OWU131114 PGQ131114 PQM131114 QAI131114 QKE131114 QUA131114 RDW131114 RNS131114 RXO131114 SHK131114 SRG131114 TBC131114 TKY131114 TUU131114 UEQ131114 UOM131114 UYI131114 VIE131114 VSA131114 WBW131114 WLS131114 WVO131114 G196650 JC196650 SY196650 ACU196650 AMQ196650 AWM196650 BGI196650 BQE196650" xr:uid="{00000000-0002-0000-0B00-000001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CAA196650 CJW196650 CTS196650 DDO196650 DNK196650 DXG196650 EHC196650 EQY196650 FAU196650 FKQ196650 FUM196650 GEI196650 GOE196650 GYA196650 HHW196650 HRS196650 IBO196650 ILK196650 IVG196650 JFC196650 JOY196650 JYU196650 KIQ196650 KSM196650 LCI196650 LME196650 LWA196650 MFW196650 MPS196650 MZO196650 NJK196650 NTG196650 ODC196650 OMY196650 OWU196650 PGQ196650 PQM196650 QAI196650 QKE196650 QUA196650 RDW196650 RNS196650 RXO196650 SHK196650 SRG196650 TBC196650 TKY196650 TUU196650 UEQ196650 UOM196650 UYI196650 VIE196650 VSA196650 WBW196650 WLS196650 WVO196650 G262186 JC262186 SY262186 ACU262186 AMQ262186 AWM262186 BGI262186 BQE262186 CAA262186 CJW262186 CTS262186 DDO262186 DNK262186 DXG262186 EHC262186 EQY262186 FAU262186 FKQ262186 FUM262186 GEI262186 GOE262186 GYA262186 HHW262186 HRS262186 IBO262186 ILK262186 IVG262186 JFC262186 JOY262186 JYU262186 KIQ262186 KSM262186 LCI262186 LME262186 LWA262186 MFW262186 MPS262186 MZO262186 NJK262186 NTG262186 ODC262186 OMY262186 OWU262186 PGQ262186" xr:uid="{00000000-0002-0000-0B00-000002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PQM262186 QAI262186 QKE262186 QUA262186 RDW262186 RNS262186 RXO262186 SHK262186 SRG262186 TBC262186 TKY262186 TUU262186 UEQ262186 UOM262186 UYI262186 VIE262186 VSA262186 WBW262186 WLS262186 WVO262186 G327722 JC327722 SY327722 ACU327722 AMQ327722 AWM327722 BGI327722 BQE327722 CAA327722 CJW327722 CTS327722 DDO327722 DNK327722 DXG327722 EHC327722 EQY327722 FAU327722 FKQ327722 FUM327722 GEI327722 GOE327722 GYA327722 HHW327722 HRS327722 IBO327722 ILK327722 IVG327722 JFC327722 JOY327722 JYU327722 KIQ327722 KSM327722 LCI327722 LME327722 LWA327722 MFW327722 MPS327722 MZO327722 NJK327722 NTG327722 ODC327722 OMY327722 OWU327722 PGQ327722 PQM327722 QAI327722 QKE327722 QUA327722 RDW327722 RNS327722 RXO327722 SHK327722 SRG327722 TBC327722 TKY327722 TUU327722 UEQ327722 UOM327722 UYI327722 VIE327722 VSA327722 WBW327722 WLS327722 WVO327722 G393258 JC393258 SY393258 ACU393258 AMQ393258 AWM393258 BGI393258 BQE393258 CAA393258 CJW393258 CTS393258 DDO393258 DNK393258 DXG393258 EHC393258 EQY393258" xr:uid="{00000000-0002-0000-0B00-000003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FAU393258 FKQ393258 FUM393258 GEI393258 GOE393258 GYA393258 HHW393258 HRS393258 IBO393258 ILK393258 IVG393258 JFC393258 JOY393258 JYU393258 KIQ393258 KSM393258 LCI393258 LME393258 LWA393258 MFW393258 MPS393258 MZO393258 NJK393258 NTG393258 ODC393258 OMY393258 OWU393258 PGQ393258 PQM393258 QAI393258 QKE393258 QUA393258 RDW393258 RNS393258 RXO393258 SHK393258 SRG393258 TBC393258 TKY393258 TUU393258 UEQ393258 UOM393258 UYI393258 VIE393258 VSA393258 WBW393258 WLS393258 WVO393258 G458794 JC458794 SY458794 ACU458794 AMQ458794 AWM458794 BGI458794 BQE458794 CAA458794 CJW458794 CTS458794 DDO458794 DNK458794 DXG458794 EHC458794 EQY458794 FAU458794 FKQ458794 FUM458794 GEI458794 GOE458794 GYA458794 HHW458794 HRS458794 IBO458794 ILK458794 IVG458794 JFC458794 JOY458794 JYU458794 KIQ458794 KSM458794 LCI458794 LME458794 LWA458794 MFW458794 MPS458794 MZO458794 NJK458794 NTG458794 ODC458794 OMY458794 OWU458794 PGQ458794 PQM458794 QAI458794 QKE458794 QUA458794 RDW458794 RNS458794 RXO458794 SHK458794" xr:uid="{00000000-0002-0000-0B00-000004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SRG458794 TBC458794 TKY458794 TUU458794 UEQ458794 UOM458794 UYI458794 VIE458794 VSA458794 WBW458794 WLS458794 WVO458794 G524330 JC524330 SY524330 ACU524330 AMQ524330 AWM524330 BGI524330 BQE524330 CAA524330 CJW524330 CTS524330 DDO524330 DNK524330 DXG524330 EHC524330 EQY524330 FAU524330 FKQ524330 FUM524330 GEI524330 GOE524330 GYA524330 HHW524330 HRS524330 IBO524330 ILK524330 IVG524330 JFC524330 JOY524330 JYU524330 KIQ524330 KSM524330 LCI524330 LME524330 LWA524330 MFW524330 MPS524330 MZO524330 NJK524330 NTG524330 ODC524330 OMY524330 OWU524330 PGQ524330 PQM524330 QAI524330 QKE524330 QUA524330 RDW524330 RNS524330 RXO524330 SHK524330 SRG524330 TBC524330 TKY524330 TUU524330 UEQ524330 UOM524330 UYI524330 VIE524330 VSA524330 WBW524330 WLS524330 WVO524330 G589866 JC589866 SY589866 ACU589866 AMQ589866 AWM589866 BGI589866 BQE589866 CAA589866 CJW589866 CTS589866 DDO589866 DNK589866 DXG589866 EHC589866 EQY589866 FAU589866 FKQ589866 FUM589866 GEI589866 GOE589866 GYA589866 HHW589866 HRS589866" xr:uid="{00000000-0002-0000-0B00-000005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IBO589866 ILK589866 IVG589866 JFC589866 JOY589866 JYU589866 KIQ589866 KSM589866 LCI589866 LME589866 LWA589866 MFW589866 MPS589866 MZO589866 NJK589866 NTG589866 ODC589866 OMY589866 OWU589866 PGQ589866 PQM589866 QAI589866 QKE589866 QUA589866 RDW589866 RNS589866 RXO589866 SHK589866 SRG589866 TBC589866 TKY589866 TUU589866 UEQ589866 UOM589866 UYI589866 VIE589866 VSA589866 WBW589866 WLS589866 WVO589866 G655402 JC655402 SY655402 ACU655402 AMQ655402 AWM655402 BGI655402 BQE655402 CAA655402 CJW655402 CTS655402 DDO655402 DNK655402 DXG655402 EHC655402 EQY655402 FAU655402 FKQ655402 FUM655402 GEI655402 GOE655402 GYA655402 HHW655402 HRS655402 IBO655402 ILK655402 IVG655402 JFC655402 JOY655402 JYU655402 KIQ655402 KSM655402 LCI655402 LME655402 LWA655402 MFW655402 MPS655402 MZO655402 NJK655402 NTG655402 ODC655402 OMY655402 OWU655402 PGQ655402 PQM655402 QAI655402 QKE655402 QUA655402 RDW655402 RNS655402 RXO655402 SHK655402 SRG655402 TBC655402 TKY655402 TUU655402 UEQ655402 UOM655402 UYI655402 VIE655402" xr:uid="{00000000-0002-0000-0B00-000006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VSA655402 WBW655402 WLS655402 WVO655402 G720938 JC720938 SY720938 ACU720938 AMQ720938 AWM720938 BGI720938 BQE720938 CAA720938 CJW720938 CTS720938 DDO720938 DNK720938 DXG720938 EHC720938 EQY720938 FAU720938 FKQ720938 FUM720938 GEI720938 GOE720938 GYA720938 HHW720938 HRS720938 IBO720938 ILK720938 IVG720938 JFC720938 JOY720938 JYU720938 KIQ720938 KSM720938 LCI720938 LME720938 LWA720938 MFW720938 MPS720938 MZO720938 NJK720938 NTG720938 ODC720938 OMY720938 OWU720938 PGQ720938 PQM720938 QAI720938 QKE720938 QUA720938 RDW720938 RNS720938 RXO720938 SHK720938 SRG720938 TBC720938 TKY720938 TUU720938 UEQ720938 UOM720938 UYI720938 VIE720938 VSA720938 WBW720938 WLS720938 WVO720938 G786474 JC786474 SY786474 ACU786474 AMQ786474 AWM786474 BGI786474 BQE786474 CAA786474 CJW786474 CTS786474 DDO786474 DNK786474 DXG786474 EHC786474 EQY786474 FAU786474 FKQ786474 FUM786474 GEI786474 GOE786474 GYA786474 HHW786474 HRS786474 IBO786474 ILK786474 IVG786474 JFC786474 JOY786474 JYU786474 KIQ786474 KSM786474" xr:uid="{00000000-0002-0000-0B00-000007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LCI786474 LME786474 LWA786474 MFW786474 MPS786474 MZO786474 NJK786474 NTG786474 ODC786474 OMY786474 OWU786474 PGQ786474 PQM786474 QAI786474 QKE786474 QUA786474 RDW786474 RNS786474 RXO786474 SHK786474 SRG786474 TBC786474 TKY786474 TUU786474 UEQ786474 UOM786474 UYI786474 VIE786474 VSA786474 WBW786474 WLS786474 WVO786474 G852010 JC852010 SY852010 ACU852010 AMQ852010 AWM852010 BGI852010 BQE852010 CAA852010 CJW852010 CTS852010 DDO852010 DNK852010 DXG852010 EHC852010 EQY852010 FAU852010 FKQ852010 FUM852010 GEI852010 GOE852010 GYA852010 HHW852010 HRS852010 IBO852010 ILK852010 IVG852010 JFC852010 JOY852010 JYU852010 KIQ852010 KSM852010 LCI852010 LME852010 LWA852010 MFW852010 MPS852010 MZO852010 NJK852010 NTG852010 ODC852010 OMY852010 OWU852010 PGQ852010 PQM852010 QAI852010 QKE852010 QUA852010 RDW852010 RNS852010 RXO852010 SHK852010 SRG852010 TBC852010 TKY852010 TUU852010 UEQ852010 UOM852010 UYI852010 VIE852010 VSA852010 WBW852010 WLS852010 WVO852010 G917546 JC917546 SY917546 ACU917546" xr:uid="{00000000-0002-0000-0B00-000008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AMQ917546 AWM917546 BGI917546 BQE917546 CAA917546 CJW917546 CTS917546 DDO917546 DNK917546 DXG917546 EHC917546 EQY917546 FAU917546 FKQ917546 FUM917546 GEI917546 GOE917546 GYA917546 HHW917546 HRS917546 IBO917546 ILK917546 IVG917546 JFC917546 JOY917546 JYU917546 KIQ917546 KSM917546 LCI917546 LME917546 LWA917546 MFW917546 MPS917546 MZO917546 NJK917546 NTG917546 ODC917546 OMY917546 OWU917546 PGQ917546 PQM917546 QAI917546 QKE917546 QUA917546 RDW917546 RNS917546 RXO917546 SHK917546 SRG917546 TBC917546 TKY917546 TUU917546 UEQ917546 UOM917546 UYI917546 VIE917546 VSA917546 WBW917546 WLS917546 WVO917546 G983082 JC983082 SY983082 ACU983082 AMQ983082 AWM983082 BGI983082 BQE983082 CAA983082 CJW983082 CTS983082 DDO983082 DNK983082 DXG983082 EHC983082 EQY983082 FAU983082 FKQ983082 FUM983082 GEI983082 GOE983082 GYA983082 HHW983082 HRS983082 IBO983082 ILK983082 IVG983082 JFC983082 JOY983082 JYU983082 KIQ983082 KSM983082 LCI983082 LME983082 LWA983082 MFW983082 MPS983082 MZO983082 NJK983082 NTG983082" xr:uid="{00000000-0002-0000-0B00-000009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OMY983082 OWU983082 PGQ983082 PQM983082 QAI983082 QKE983082 QUA983082 RDW983082 RNS983082 RXO983082 SHK983082 SRG983082 TBC983082 TKY983082 TUU983082 UEQ983082 UOM983082 UYI983082 VIE983082 VSA983082 WBW983082 WLS983082 WVO983082" xr:uid="{00000000-0002-0000-0B00-00000A000000}">
      <formula1>0</formula1>
      <formula2>IZ42-JA42-JB42</formula2>
    </dataValidation>
    <dataValidation type="whole" allowBlank="1" showInputMessage="1" showErrorMessage="1" errorTitle="Input error" error="The amount entered should be rounded to the nearest dollar and should not exceed the remaining ESSER I fund balance (column D minus columns E and F)." sqref="JD37 SZ37 ACV37 AMR37 AWN37 BGJ37 BQF37 CAB37 CJX37 CTT37 DDP37 DNL37 DXH37 EHD37 EQZ37 FAV37 FKR37 FUN37 GEJ37 GOF37 GYB37 HHX37 HRT37 IBP37 ILL37 IVH37 JFD37 JOZ37 JYV37 KIR37 KSN37 LCJ37 LMF37 LWB37 MFX37 MPT37 MZP37 NJL37 NTH37 ODD37 OMZ37 OWV37 PGR37 PQN37 QAJ37 QKF37 QUB37 RDX37 RNT37 RXP37 SHL37 SRH37 TBD37 TKZ37 TUV37 UER37 UON37 UYJ37 VIF37 VSB37 WBX37 WLT37 WVP37 G65573 JC65573 SY65573 ACU65573 AMQ65573 AWM65573 BGI65573 BQE65573 CAA65573 CJW65573 CTS65573 DDO65573 DNK65573 DXG65573 EHC65573 EQY65573 FAU65573 FKQ65573 FUM65573 GEI65573 GOE65573 GYA65573 HHW65573 HRS65573 IBO65573 ILK65573 IVG65573 JFC65573 JOY65573 JYU65573 KIQ65573 KSM65573 LCI65573 LME65573 LWA65573 MFW65573" xr:uid="{00000000-0002-0000-0B00-00000B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MPS65573 MZO65573 NJK65573 NTG65573 ODC65573 OMY65573 OWU65573 PGQ65573 PQM65573 QAI65573 QKE65573 QUA65573 RDW65573 RNS65573 RXO65573 SHK65573 SRG65573 TBC65573 TKY65573 TUU65573 UEQ65573 UOM65573 UYI65573 VIE65573 VSA65573 WBW65573 WLS65573 WVO65573 G131109 JC131109 SY131109 ACU131109 AMQ131109 AWM131109 BGI131109 BQE131109 CAA131109 CJW131109 CTS131109 DDO131109 DNK131109 DXG131109 EHC131109 EQY131109 FAU131109 FKQ131109 FUM131109 GEI131109 GOE131109 GYA131109 HHW131109 HRS131109 IBO131109 ILK131109 IVG131109 JFC131109 JOY131109 JYU131109 KIQ131109 KSM131109 LCI131109 LME131109 LWA131109 MFW131109 MPS131109 MZO131109 NJK131109 NTG131109 ODC131109 OMY131109 OWU131109 PGQ131109 PQM131109 QAI131109 QKE131109 QUA131109 RDW131109 RNS131109 RXO131109 SHK131109 SRG131109 TBC131109 TKY131109 TUU131109 UEQ131109 UOM131109 UYI131109 VIE131109 VSA131109 WBW131109 WLS131109 WVO131109 G196645 JC196645 SY196645 ACU196645 AMQ196645 AWM196645 BGI196645 BQE196645" xr:uid="{00000000-0002-0000-0B00-00000C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CAA196645 CJW196645 CTS196645 DDO196645 DNK196645 DXG196645 EHC196645 EQY196645 FAU196645 FKQ196645 FUM196645 GEI196645 GOE196645 GYA196645 HHW196645 HRS196645 IBO196645 ILK196645 IVG196645 JFC196645 JOY196645 JYU196645 KIQ196645 KSM196645 LCI196645 LME196645 LWA196645 MFW196645 MPS196645 MZO196645 NJK196645 NTG196645 ODC196645 OMY196645 OWU196645 PGQ196645 PQM196645 QAI196645 QKE196645 QUA196645 RDW196645 RNS196645 RXO196645 SHK196645 SRG196645 TBC196645 TKY196645 TUU196645 UEQ196645 UOM196645 UYI196645 VIE196645 VSA196645 WBW196645 WLS196645 WVO196645 G262181 JC262181 SY262181 ACU262181 AMQ262181 AWM262181 BGI262181 BQE262181 CAA262181 CJW262181 CTS262181 DDO262181 DNK262181 DXG262181 EHC262181 EQY262181 FAU262181 FKQ262181 FUM262181 GEI262181 GOE262181 GYA262181 HHW262181 HRS262181 IBO262181 ILK262181 IVG262181 JFC262181 JOY262181 JYU262181 KIQ262181 KSM262181 LCI262181 LME262181 LWA262181 MFW262181 MPS262181 MZO262181 NJK262181 NTG262181 ODC262181 OMY262181 OWU262181 PGQ262181" xr:uid="{00000000-0002-0000-0B00-00000D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PQM262181 QAI262181 QKE262181 QUA262181 RDW262181 RNS262181 RXO262181 SHK262181 SRG262181 TBC262181 TKY262181 TUU262181 UEQ262181 UOM262181 UYI262181 VIE262181 VSA262181 WBW262181 WLS262181 WVO262181 G327717 JC327717 SY327717 ACU327717 AMQ327717 AWM327717 BGI327717 BQE327717 CAA327717 CJW327717 CTS327717 DDO327717 DNK327717 DXG327717 EHC327717 EQY327717 FAU327717 FKQ327717 FUM327717 GEI327717 GOE327717 GYA327717 HHW327717 HRS327717 IBO327717 ILK327717 IVG327717 JFC327717 JOY327717 JYU327717 KIQ327717 KSM327717 LCI327717 LME327717 LWA327717 MFW327717 MPS327717 MZO327717 NJK327717 NTG327717 ODC327717 OMY327717 OWU327717 PGQ327717 PQM327717 QAI327717 QKE327717 QUA327717 RDW327717 RNS327717 RXO327717 SHK327717 SRG327717 TBC327717 TKY327717 TUU327717 UEQ327717 UOM327717 UYI327717 VIE327717 VSA327717 WBW327717 WLS327717 WVO327717 G393253 JC393253 SY393253 ACU393253 AMQ393253 AWM393253 BGI393253 BQE393253 CAA393253 CJW393253 CTS393253 DDO393253 DNK393253 DXG393253 EHC393253 EQY393253" xr:uid="{00000000-0002-0000-0B00-00000E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FAU393253 FKQ393253 FUM393253 GEI393253 GOE393253 GYA393253 HHW393253 HRS393253 IBO393253 ILK393253 IVG393253 JFC393253 JOY393253 JYU393253 KIQ393253 KSM393253 LCI393253 LME393253 LWA393253 MFW393253 MPS393253 MZO393253 NJK393253 NTG393253 ODC393253 OMY393253 OWU393253 PGQ393253 PQM393253 QAI393253 QKE393253 QUA393253 RDW393253 RNS393253 RXO393253 SHK393253 SRG393253 TBC393253 TKY393253 TUU393253 UEQ393253 UOM393253 UYI393253 VIE393253 VSA393253 WBW393253 WLS393253 WVO393253 G458789 JC458789 SY458789 ACU458789 AMQ458789 AWM458789 BGI458789 BQE458789 CAA458789 CJW458789 CTS458789 DDO458789 DNK458789 DXG458789 EHC458789 EQY458789 FAU458789 FKQ458789 FUM458789 GEI458789 GOE458789 GYA458789 HHW458789 HRS458789 IBO458789 ILK458789 IVG458789 JFC458789 JOY458789 JYU458789 KIQ458789 KSM458789 LCI458789 LME458789 LWA458789 MFW458789 MPS458789 MZO458789 NJK458789 NTG458789 ODC458789 OMY458789 OWU458789 PGQ458789 PQM458789 QAI458789 QKE458789 QUA458789 RDW458789 RNS458789 RXO458789 SHK458789" xr:uid="{00000000-0002-0000-0B00-00000F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SRG458789 TBC458789 TKY458789 TUU458789 UEQ458789 UOM458789 UYI458789 VIE458789 VSA458789 WBW458789 WLS458789 WVO458789 G524325 JC524325 SY524325 ACU524325 AMQ524325 AWM524325 BGI524325 BQE524325 CAA524325 CJW524325 CTS524325 DDO524325 DNK524325 DXG524325 EHC524325 EQY524325 FAU524325 FKQ524325 FUM524325 GEI524325 GOE524325 GYA524325 HHW524325 HRS524325 IBO524325 ILK524325 IVG524325 JFC524325 JOY524325 JYU524325 KIQ524325 KSM524325 LCI524325 LME524325 LWA524325 MFW524325 MPS524325 MZO524325 NJK524325 NTG524325 ODC524325 OMY524325 OWU524325 PGQ524325 PQM524325 QAI524325 QKE524325 QUA524325 RDW524325 RNS524325 RXO524325 SHK524325 SRG524325 TBC524325 TKY524325 TUU524325 UEQ524325 UOM524325 UYI524325 VIE524325 VSA524325 WBW524325 WLS524325 WVO524325 G589861 JC589861 SY589861 ACU589861 AMQ589861 AWM589861 BGI589861 BQE589861 CAA589861 CJW589861 CTS589861 DDO589861 DNK589861 DXG589861 EHC589861 EQY589861 FAU589861 FKQ589861 FUM589861 GEI589861 GOE589861 GYA589861 HHW589861 HRS589861" xr:uid="{00000000-0002-0000-0B00-000010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IBO589861 ILK589861 IVG589861 JFC589861 JOY589861 JYU589861 KIQ589861 KSM589861 LCI589861 LME589861 LWA589861 MFW589861 MPS589861 MZO589861 NJK589861 NTG589861 ODC589861 OMY589861 OWU589861 PGQ589861 PQM589861 QAI589861 QKE589861 QUA589861 RDW589861 RNS589861 RXO589861 SHK589861 SRG589861 TBC589861 TKY589861 TUU589861 UEQ589861 UOM589861 UYI589861 VIE589861 VSA589861 WBW589861 WLS589861 WVO589861 G655397 JC655397 SY655397 ACU655397 AMQ655397 AWM655397 BGI655397 BQE655397 CAA655397 CJW655397 CTS655397 DDO655397 DNK655397 DXG655397 EHC655397 EQY655397 FAU655397 FKQ655397 FUM655397 GEI655397 GOE655397 GYA655397 HHW655397 HRS655397 IBO655397 ILK655397 IVG655397 JFC655397 JOY655397 JYU655397 KIQ655397 KSM655397 LCI655397 LME655397 LWA655397 MFW655397 MPS655397 MZO655397 NJK655397 NTG655397 ODC655397 OMY655397 OWU655397 PGQ655397 PQM655397 QAI655397 QKE655397 QUA655397 RDW655397 RNS655397 RXO655397 SHK655397 SRG655397 TBC655397 TKY655397 TUU655397 UEQ655397 UOM655397 UYI655397 VIE655397" xr:uid="{00000000-0002-0000-0B00-000011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VSA655397 WBW655397 WLS655397 WVO655397 G720933 JC720933 SY720933 ACU720933 AMQ720933 AWM720933 BGI720933 BQE720933 CAA720933 CJW720933 CTS720933 DDO720933 DNK720933 DXG720933 EHC720933 EQY720933 FAU720933 FKQ720933 FUM720933 GEI720933 GOE720933 GYA720933 HHW720933 HRS720933 IBO720933 ILK720933 IVG720933 JFC720933 JOY720933 JYU720933 KIQ720933 KSM720933 LCI720933 LME720933 LWA720933 MFW720933 MPS720933 MZO720933 NJK720933 NTG720933 ODC720933 OMY720933 OWU720933 PGQ720933 PQM720933 QAI720933 QKE720933 QUA720933 RDW720933 RNS720933 RXO720933 SHK720933 SRG720933 TBC720933 TKY720933 TUU720933 UEQ720933 UOM720933 UYI720933 VIE720933 VSA720933 WBW720933 WLS720933 WVO720933 G786469 JC786469 SY786469 ACU786469 AMQ786469 AWM786469 BGI786469 BQE786469 CAA786469 CJW786469 CTS786469 DDO786469 DNK786469 DXG786469 EHC786469 EQY786469 FAU786469 FKQ786469 FUM786469 GEI786469 GOE786469 GYA786469 HHW786469 HRS786469 IBO786469 ILK786469 IVG786469 JFC786469 JOY786469 JYU786469 KIQ786469 KSM786469" xr:uid="{00000000-0002-0000-0B00-000012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LCI786469 LME786469 LWA786469 MFW786469 MPS786469 MZO786469 NJK786469 NTG786469 ODC786469 OMY786469 OWU786469 PGQ786469 PQM786469 QAI786469 QKE786469 QUA786469 RDW786469 RNS786469 RXO786469 SHK786469 SRG786469 TBC786469 TKY786469 TUU786469 UEQ786469 UOM786469 UYI786469 VIE786469 VSA786469 WBW786469 WLS786469 WVO786469 G852005 JC852005 SY852005 ACU852005 AMQ852005 AWM852005 BGI852005 BQE852005 CAA852005 CJW852005 CTS852005 DDO852005 DNK852005 DXG852005 EHC852005 EQY852005 FAU852005 FKQ852005 FUM852005 GEI852005 GOE852005 GYA852005 HHW852005 HRS852005 IBO852005 ILK852005 IVG852005 JFC852005 JOY852005 JYU852005 KIQ852005 KSM852005 LCI852005 LME852005 LWA852005 MFW852005 MPS852005 MZO852005 NJK852005 NTG852005 ODC852005 OMY852005 OWU852005 PGQ852005 PQM852005 QAI852005 QKE852005 QUA852005 RDW852005 RNS852005 RXO852005 SHK852005 SRG852005 TBC852005 TKY852005 TUU852005 UEQ852005 UOM852005 UYI852005 VIE852005 VSA852005 WBW852005 WLS852005 WVO852005 G917541 JC917541 SY917541 ACU917541" xr:uid="{00000000-0002-0000-0B00-000013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AMQ917541 AWM917541 BGI917541 BQE917541 CAA917541 CJW917541 CTS917541 DDO917541 DNK917541 DXG917541 EHC917541 EQY917541 FAU917541 FKQ917541 FUM917541 GEI917541 GOE917541 GYA917541 HHW917541 HRS917541 IBO917541 ILK917541 IVG917541 JFC917541 JOY917541 JYU917541 KIQ917541 KSM917541 LCI917541 LME917541 LWA917541 MFW917541 MPS917541 MZO917541 NJK917541 NTG917541 ODC917541 OMY917541 OWU917541 PGQ917541 PQM917541 QAI917541 QKE917541 QUA917541 RDW917541 RNS917541 RXO917541 SHK917541 SRG917541 TBC917541 TKY917541 TUU917541 UEQ917541 UOM917541 UYI917541 VIE917541 VSA917541 WBW917541 WLS917541 WVO917541 G983077 JC983077 SY983077 ACU983077 AMQ983077 AWM983077 BGI983077 BQE983077 CAA983077 CJW983077 CTS983077 DDO983077 DNK983077 DXG983077 EHC983077 EQY983077 FAU983077 FKQ983077 FUM983077 GEI983077 GOE983077 GYA983077 HHW983077 HRS983077 IBO983077 ILK983077 IVG983077 JFC983077 JOY983077 JYU983077 KIQ983077 KSM983077 LCI983077 LME983077 LWA983077 MFW983077 MPS983077 MZO983077 NJK983077 NTG983077" xr:uid="{00000000-0002-0000-0B00-000014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OMY983077 OWU983077 PGQ983077 PQM983077 QAI983077 QKE983077 QUA983077 RDW983077 RNS983077 RXO983077 SHK983077 SRG983077 TBC983077 TKY983077 TUU983077 UEQ983077 UOM983077 UYI983077 VIE983077 VSA983077 WBW983077 WLS983077 WVO983077" xr:uid="{00000000-0002-0000-0B00-000015000000}">
      <formula1>0</formula1>
      <formula2>IZ37-JA37-JB37</formula2>
    </dataValidation>
    <dataValidation type="whole" allowBlank="1" showInputMessage="1" showErrorMessage="1" errorTitle="Input error" error="The amount entered should be rounded to the nearest dollar and should not exceed the remaining ESSER II fund balance (column D minus columns E and F)." sqref="JD38 SZ38 ACV38 AMR38 AWN38 BGJ38 BQF38 CAB38 CJX38 CTT38 DDP38 DNL38 DXH38 EHD38 EQZ38 FAV38 FKR38 FUN38 GEJ38 GOF38 GYB38 HHX38 HRT38 IBP38 ILL38 IVH38 JFD38 JOZ38 JYV38 KIR38 KSN38 LCJ38 LMF38 LWB38 MFX38 MPT38 MZP38 NJL38 NTH38 ODD38 OMZ38 OWV38 PGR38 PQN38 QAJ38 QKF38 QUB38 RDX38 RNT38 RXP38 SHL38 SRH38 TBD38 TKZ38 TUV38 UER38 UON38 UYJ38 VIF38 VSB38 WBX38 WLT38 WVP38 G65574 JC65574 SY65574 ACU65574 AMQ65574 AWM65574 BGI65574 BQE65574 CAA65574 CJW65574 CTS65574 DDO65574 DNK65574 DXG65574 EHC65574 EQY65574 FAU65574 FKQ65574 FUM65574 GEI65574 GOE65574 GYA65574 HHW65574 HRS65574 IBO65574 ILK65574 IVG65574 JFC65574 JOY65574 JYU65574 KIQ65574 KSM65574 LCI65574 LME65574 LWA65574 MFW65574" xr:uid="{00000000-0002-0000-0B00-000016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MPS65574 MZO65574 NJK65574 NTG65574 ODC65574 OMY65574 OWU65574 PGQ65574 PQM65574 QAI65574 QKE65574 QUA65574 RDW65574 RNS65574 RXO65574 SHK65574 SRG65574 TBC65574 TKY65574 TUU65574 UEQ65574 UOM65574 UYI65574 VIE65574 VSA65574 WBW65574 WLS65574 WVO65574 G131110 JC131110 SY131110 ACU131110 AMQ131110 AWM131110 BGI131110 BQE131110 CAA131110 CJW131110 CTS131110 DDO131110 DNK131110 DXG131110 EHC131110 EQY131110 FAU131110 FKQ131110 FUM131110 GEI131110 GOE131110 GYA131110 HHW131110 HRS131110 IBO131110 ILK131110 IVG131110 JFC131110 JOY131110 JYU131110 KIQ131110 KSM131110 LCI131110 LME131110 LWA131110 MFW131110 MPS131110 MZO131110 NJK131110 NTG131110 ODC131110 OMY131110 OWU131110 PGQ131110 PQM131110 QAI131110 QKE131110 QUA131110 RDW131110 RNS131110 RXO131110 SHK131110 SRG131110 TBC131110 TKY131110 TUU131110 UEQ131110 UOM131110 UYI131110 VIE131110 VSA131110 WBW131110 WLS131110 WVO131110 G196646 JC196646 SY196646 ACU196646 AMQ196646 AWM196646 BGI196646 BQE196646" xr:uid="{00000000-0002-0000-0B00-000017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CAA196646 CJW196646 CTS196646 DDO196646 DNK196646 DXG196646 EHC196646 EQY196646 FAU196646 FKQ196646 FUM196646 GEI196646 GOE196646 GYA196646 HHW196646 HRS196646 IBO196646 ILK196646 IVG196646 JFC196646 JOY196646 JYU196646 KIQ196646 KSM196646 LCI196646 LME196646 LWA196646 MFW196646 MPS196646 MZO196646 NJK196646 NTG196646 ODC196646 OMY196646 OWU196646 PGQ196646 PQM196646 QAI196646 QKE196646 QUA196646 RDW196646 RNS196646 RXO196646 SHK196646 SRG196646 TBC196646 TKY196646 TUU196646 UEQ196646 UOM196646 UYI196646 VIE196646 VSA196646 WBW196646 WLS196646 WVO196646 G262182 JC262182 SY262182 ACU262182 AMQ262182 AWM262182 BGI262182 BQE262182 CAA262182 CJW262182 CTS262182 DDO262182 DNK262182 DXG262182 EHC262182 EQY262182 FAU262182 FKQ262182 FUM262182 GEI262182 GOE262182 GYA262182 HHW262182 HRS262182 IBO262182 ILK262182 IVG262182 JFC262182 JOY262182 JYU262182 KIQ262182 KSM262182 LCI262182 LME262182 LWA262182 MFW262182 MPS262182 MZO262182 NJK262182 NTG262182 ODC262182 OMY262182 OWU262182 PGQ262182" xr:uid="{00000000-0002-0000-0B00-000018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PQM262182 QAI262182 QKE262182 QUA262182 RDW262182 RNS262182 RXO262182 SHK262182 SRG262182 TBC262182 TKY262182 TUU262182 UEQ262182 UOM262182 UYI262182 VIE262182 VSA262182 WBW262182 WLS262182 WVO262182 G327718 JC327718 SY327718 ACU327718 AMQ327718 AWM327718 BGI327718 BQE327718 CAA327718 CJW327718 CTS327718 DDO327718 DNK327718 DXG327718 EHC327718 EQY327718 FAU327718 FKQ327718 FUM327718 GEI327718 GOE327718 GYA327718 HHW327718 HRS327718 IBO327718 ILK327718 IVG327718 JFC327718 JOY327718 JYU327718 KIQ327718 KSM327718 LCI327718 LME327718 LWA327718 MFW327718 MPS327718 MZO327718 NJK327718 NTG327718 ODC327718 OMY327718 OWU327718 PGQ327718 PQM327718 QAI327718 QKE327718 QUA327718 RDW327718 RNS327718 RXO327718 SHK327718 SRG327718 TBC327718 TKY327718 TUU327718 UEQ327718 UOM327718 UYI327718 VIE327718 VSA327718 WBW327718 WLS327718 WVO327718 G393254 JC393254 SY393254 ACU393254 AMQ393254 AWM393254 BGI393254 BQE393254 CAA393254 CJW393254 CTS393254 DDO393254 DNK393254 DXG393254 EHC393254 EQY393254" xr:uid="{00000000-0002-0000-0B00-000019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FAU393254 FKQ393254 FUM393254 GEI393254 GOE393254 GYA393254 HHW393254 HRS393254 IBO393254 ILK393254 IVG393254 JFC393254 JOY393254 JYU393254 KIQ393254 KSM393254 LCI393254 LME393254 LWA393254 MFW393254 MPS393254 MZO393254 NJK393254 NTG393254 ODC393254 OMY393254 OWU393254 PGQ393254 PQM393254 QAI393254 QKE393254 QUA393254 RDW393254 RNS393254 RXO393254 SHK393254 SRG393254 TBC393254 TKY393254 TUU393254 UEQ393254 UOM393254 UYI393254 VIE393254 VSA393254 WBW393254 WLS393254 WVO393254 G458790 JC458790 SY458790 ACU458790 AMQ458790 AWM458790 BGI458790 BQE458790 CAA458790 CJW458790 CTS458790 DDO458790 DNK458790 DXG458790 EHC458790 EQY458790 FAU458790 FKQ458790 FUM458790 GEI458790 GOE458790 GYA458790 HHW458790 HRS458790 IBO458790 ILK458790 IVG458790 JFC458790 JOY458790 JYU458790 KIQ458790 KSM458790 LCI458790 LME458790 LWA458790 MFW458790 MPS458790 MZO458790 NJK458790 NTG458790 ODC458790 OMY458790 OWU458790 PGQ458790 PQM458790 QAI458790 QKE458790 QUA458790 RDW458790 RNS458790 RXO458790 SHK458790" xr:uid="{00000000-0002-0000-0B00-00001A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SRG458790 TBC458790 TKY458790 TUU458790 UEQ458790 UOM458790 UYI458790 VIE458790 VSA458790 WBW458790 WLS458790 WVO458790 G524326 JC524326 SY524326 ACU524326 AMQ524326 AWM524326 BGI524326 BQE524326 CAA524326 CJW524326 CTS524326 DDO524326 DNK524326 DXG524326 EHC524326 EQY524326 FAU524326 FKQ524326 FUM524326 GEI524326 GOE524326 GYA524326 HHW524326 HRS524326 IBO524326 ILK524326 IVG524326 JFC524326 JOY524326 JYU524326 KIQ524326 KSM524326 LCI524326 LME524326 LWA524326 MFW524326 MPS524326 MZO524326 NJK524326 NTG524326 ODC524326 OMY524326 OWU524326 PGQ524326 PQM524326 QAI524326 QKE524326 QUA524326 RDW524326 RNS524326 RXO524326 SHK524326 SRG524326 TBC524326 TKY524326 TUU524326 UEQ524326 UOM524326 UYI524326 VIE524326 VSA524326 WBW524326 WLS524326 WVO524326 G589862 JC589862 SY589862 ACU589862 AMQ589862 AWM589862 BGI589862 BQE589862 CAA589862 CJW589862 CTS589862 DDO589862 DNK589862 DXG589862 EHC589862 EQY589862 FAU589862 FKQ589862 FUM589862 GEI589862 GOE589862 GYA589862 HHW589862 HRS589862" xr:uid="{00000000-0002-0000-0B00-00001B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IBO589862 ILK589862 IVG589862 JFC589862 JOY589862 JYU589862 KIQ589862 KSM589862 LCI589862 LME589862 LWA589862 MFW589862 MPS589862 MZO589862 NJK589862 NTG589862 ODC589862 OMY589862 OWU589862 PGQ589862 PQM589862 QAI589862 QKE589862 QUA589862 RDW589862 RNS589862 RXO589862 SHK589862 SRG589862 TBC589862 TKY589862 TUU589862 UEQ589862 UOM589862 UYI589862 VIE589862 VSA589862 WBW589862 WLS589862 WVO589862 G655398 JC655398 SY655398 ACU655398 AMQ655398 AWM655398 BGI655398 BQE655398 CAA655398 CJW655398 CTS655398 DDO655398 DNK655398 DXG655398 EHC655398 EQY655398 FAU655398 FKQ655398 FUM655398 GEI655398 GOE655398 GYA655398 HHW655398 HRS655398 IBO655398 ILK655398 IVG655398 JFC655398 JOY655398 JYU655398 KIQ655398 KSM655398 LCI655398 LME655398 LWA655398 MFW655398 MPS655398 MZO655398 NJK655398 NTG655398 ODC655398 OMY655398 OWU655398 PGQ655398 PQM655398 QAI655398 QKE655398 QUA655398 RDW655398 RNS655398 RXO655398 SHK655398 SRG655398 TBC655398 TKY655398 TUU655398 UEQ655398 UOM655398 UYI655398 VIE655398" xr:uid="{00000000-0002-0000-0B00-00001C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VSA655398 WBW655398 WLS655398 WVO655398 G720934 JC720934 SY720934 ACU720934 AMQ720934 AWM720934 BGI720934 BQE720934 CAA720934 CJW720934 CTS720934 DDO720934 DNK720934 DXG720934 EHC720934 EQY720934 FAU720934 FKQ720934 FUM720934 GEI720934 GOE720934 GYA720934 HHW720934 HRS720934 IBO720934 ILK720934 IVG720934 JFC720934 JOY720934 JYU720934 KIQ720934 KSM720934 LCI720934 LME720934 LWA720934 MFW720934 MPS720934 MZO720934 NJK720934 NTG720934 ODC720934 OMY720934 OWU720934 PGQ720934 PQM720934 QAI720934 QKE720934 QUA720934 RDW720934 RNS720934 RXO720934 SHK720934 SRG720934 TBC720934 TKY720934 TUU720934 UEQ720934 UOM720934 UYI720934 VIE720934 VSA720934 WBW720934 WLS720934 WVO720934 G786470 JC786470 SY786470 ACU786470 AMQ786470 AWM786470 BGI786470 BQE786470 CAA786470 CJW786470 CTS786470 DDO786470 DNK786470 DXG786470 EHC786470 EQY786470 FAU786470 FKQ786470 FUM786470 GEI786470 GOE786470 GYA786470 HHW786470 HRS786470 IBO786470 ILK786470 IVG786470 JFC786470 JOY786470 JYU786470 KIQ786470 KSM786470" xr:uid="{00000000-0002-0000-0B00-00001D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LCI786470 LME786470 LWA786470 MFW786470 MPS786470 MZO786470 NJK786470 NTG786470 ODC786470 OMY786470 OWU786470 PGQ786470 PQM786470 QAI786470 QKE786470 QUA786470 RDW786470 RNS786470 RXO786470 SHK786470 SRG786470 TBC786470 TKY786470 TUU786470 UEQ786470 UOM786470 UYI786470 VIE786470 VSA786470 WBW786470 WLS786470 WVO786470 G852006 JC852006 SY852006 ACU852006 AMQ852006 AWM852006 BGI852006 BQE852006 CAA852006 CJW852006 CTS852006 DDO852006 DNK852006 DXG852006 EHC852006 EQY852006 FAU852006 FKQ852006 FUM852006 GEI852006 GOE852006 GYA852006 HHW852006 HRS852006 IBO852006 ILK852006 IVG852006 JFC852006 JOY852006 JYU852006 KIQ852006 KSM852006 LCI852006 LME852006 LWA852006 MFW852006 MPS852006 MZO852006 NJK852006 NTG852006 ODC852006 OMY852006 OWU852006 PGQ852006 PQM852006 QAI852006 QKE852006 QUA852006 RDW852006 RNS852006 RXO852006 SHK852006 SRG852006 TBC852006 TKY852006 TUU852006 UEQ852006 UOM852006 UYI852006 VIE852006 VSA852006 WBW852006 WLS852006 WVO852006 G917542 JC917542 SY917542 ACU917542" xr:uid="{00000000-0002-0000-0B00-00001E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AMQ917542 AWM917542 BGI917542 BQE917542 CAA917542 CJW917542 CTS917542 DDO917542 DNK917542 DXG917542 EHC917542 EQY917542 FAU917542 FKQ917542 FUM917542 GEI917542 GOE917542 GYA917542 HHW917542 HRS917542 IBO917542 ILK917542 IVG917542 JFC917542 JOY917542 JYU917542 KIQ917542 KSM917542 LCI917542 LME917542 LWA917542 MFW917542 MPS917542 MZO917542 NJK917542 NTG917542 ODC917542 OMY917542 OWU917542 PGQ917542 PQM917542 QAI917542 QKE917542 QUA917542 RDW917542 RNS917542 RXO917542 SHK917542 SRG917542 TBC917542 TKY917542 TUU917542 UEQ917542 UOM917542 UYI917542 VIE917542 VSA917542 WBW917542 WLS917542 WVO917542 G983078 JC983078 SY983078 ACU983078 AMQ983078 AWM983078 BGI983078 BQE983078 CAA983078 CJW983078 CTS983078 DDO983078 DNK983078 DXG983078 EHC983078 EQY983078 FAU983078 FKQ983078 FUM983078 GEI983078 GOE983078 GYA983078 HHW983078 HRS983078 IBO983078 ILK983078 IVG983078 JFC983078 JOY983078 JYU983078 KIQ983078 KSM983078 LCI983078 LME983078 LWA983078 MFW983078 MPS983078 MZO983078 NJK983078 NTG983078" xr:uid="{00000000-0002-0000-0B00-00001F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MY983078 OWU983078 PGQ983078 PQM983078 QAI983078 QKE983078 QUA983078 RDW983078 RNS983078 RXO983078 SHK983078 SRG983078 TBC983078 TKY983078 TUU983078 UEQ983078 UOM983078 UYI983078 VIE983078 VSA983078 WBW983078 WLS983078 WVO983078" xr:uid="{00000000-0002-0000-0B00-000020000000}">
      <formula1>0</formula1>
      <formula2>IZ38-JA38-JB38</formula2>
    </dataValidation>
    <dataValidation type="whole" allowBlank="1" showInputMessage="1" showErrorMessage="1" errorTitle="Input error" error="The amount entered should be rounded to the nearest dollar and should not exceed the remaining ESG Fund balance (column D minus columns E and F)." sqref="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xr:uid="{00000000-0002-0000-0B00-000021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xr:uid="{00000000-0002-0000-0B00-000022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xr:uid="{00000000-0002-0000-0B00-000023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xr:uid="{00000000-0002-0000-0B00-000024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xr:uid="{00000000-0002-0000-0B00-000025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xr:uid="{00000000-0002-0000-0B00-000026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xr:uid="{00000000-0002-0000-0B00-000027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xr:uid="{00000000-0002-0000-0B00-000028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xr:uid="{00000000-0002-0000-0B00-000029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xr:uid="{00000000-0002-0000-0B00-00002A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OMY983081 OWU983081 PGQ983081 PQM983081 QAI983081 QKE983081 QUA983081 RDW983081 RNS983081 RXO983081 SHK983081 SRG983081 TBC983081 TKY983081 TUU983081 UEQ983081 UOM983081 UYI983081 VIE983081 VSA983081 WBW983081 WLS983081 WVO983081" xr:uid="{00000000-0002-0000-0B00-00002B000000}">
      <formula1>0</formula1>
      <formula2>IZ41-JA41-JB41</formula2>
    </dataValidation>
    <dataValidation type="whole" allowBlank="1" showInputMessage="1" showErrorMessage="1" errorTitle="Input error" error="The amount entered should be rounded to the nearest dollar and should not exceed the remaining GEER fund balance (column D minus columns E and F)." sqref="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xr:uid="{00000000-0002-0000-0B00-00002C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xr:uid="{00000000-0002-0000-0B00-00002D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xr:uid="{00000000-0002-0000-0B00-00002E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xr:uid="{00000000-0002-0000-0B00-00002F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xr:uid="{00000000-0002-0000-0B00-000030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xr:uid="{00000000-0002-0000-0B00-000031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xr:uid="{00000000-0002-0000-0B00-000032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xr:uid="{00000000-0002-0000-0B00-000033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xr:uid="{00000000-0002-0000-0B00-000034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xr:uid="{00000000-0002-0000-0B00-000035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OMY983080 OWU983080 PGQ983080 PQM983080 QAI983080 QKE983080 QUA983080 RDW983080 RNS983080 RXO983080 SHK983080 SRG983080 TBC983080 TKY983080 TUU983080 UEQ983080 UOM983080 UYI983080 VIE983080 VSA983080 WBW983080 WLS983080 WVO983080" xr:uid="{00000000-0002-0000-0B00-000036000000}">
      <formula1>0</formula1>
      <formula2>IZ40-JA40-JB40</formula2>
    </dataValidation>
    <dataValidation type="whole" allowBlank="1" showInputMessage="1" showErrorMessage="1" errorTitle="Input error" error="The amount entered should be rounded to the nearest dollar and should not exceed the remaining ESSER III fund balance (column D minus columns E and F)." sqref="JD39 SZ39 ACV39 AMR39 AWN39 BGJ39 BQF39 CAB39 CJX39 CTT39 DDP39 DNL39 DXH39 EHD39 EQZ39 FAV39 FKR39 FUN39 GEJ39 GOF39 GYB39 HHX39 HRT39 IBP39 ILL39 IVH39 JFD39 JOZ39 JYV39 KIR39 KSN39 LCJ39 LMF39 LWB39 MFX39 MPT39 MZP39 NJL39 NTH39 ODD39 OMZ39 OWV39 PGR39 PQN39 QAJ39 QKF39 QUB39 RDX39 RNT39 RXP39 SHL39 SRH39 TBD39 TKZ39 TUV39 UER39 UON39 UYJ39 VIF39 VSB39 WBX39 WLT39 WVP39 G65575 JC65575 SY65575 ACU65575 AMQ65575 AWM65575 BGI65575 BQE65575 CAA65575 CJW65575 CTS65575 DDO65575 DNK65575 DXG65575 EHC65575 EQY65575 FAU65575 FKQ65575 FUM65575 GEI65575 GOE65575 GYA65575 HHW65575 HRS65575 IBO65575 ILK65575 IVG65575 JFC65575 JOY65575 JYU65575 KIQ65575 KSM65575 LCI65575 LME65575 LWA65575 MFW65575" xr:uid="{00000000-0002-0000-0B00-000037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MPS65575 MZO65575 NJK65575 NTG65575 ODC65575 OMY65575 OWU65575 PGQ65575 PQM65575 QAI65575 QKE65575 QUA65575 RDW65575 RNS65575 RXO65575 SHK65575 SRG65575 TBC65575 TKY65575 TUU65575 UEQ65575 UOM65575 UYI65575 VIE65575 VSA65575 WBW65575 WLS65575 WVO65575 G131111 JC131111 SY131111 ACU131111 AMQ131111 AWM131111 BGI131111 BQE131111 CAA131111 CJW131111 CTS131111 DDO131111 DNK131111 DXG131111 EHC131111 EQY131111 FAU131111 FKQ131111 FUM131111 GEI131111 GOE131111 GYA131111 HHW131111 HRS131111 IBO131111 ILK131111 IVG131111 JFC131111 JOY131111 JYU131111 KIQ131111 KSM131111 LCI131111 LME131111 LWA131111 MFW131111 MPS131111 MZO131111 NJK131111 NTG131111 ODC131111 OMY131111 OWU131111 PGQ131111 PQM131111 QAI131111 QKE131111 QUA131111 RDW131111 RNS131111 RXO131111 SHK131111 SRG131111 TBC131111 TKY131111 TUU131111 UEQ131111 UOM131111 UYI131111 VIE131111 VSA131111 WBW131111 WLS131111 WVO131111 G196647 JC196647 SY196647 ACU196647 AMQ196647 AWM196647 BGI196647 BQE196647" xr:uid="{00000000-0002-0000-0B00-000038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CAA196647 CJW196647 CTS196647 DDO196647 DNK196647 DXG196647 EHC196647 EQY196647 FAU196647 FKQ196647 FUM196647 GEI196647 GOE196647 GYA196647 HHW196647 HRS196647 IBO196647 ILK196647 IVG196647 JFC196647 JOY196647 JYU196647 KIQ196647 KSM196647 LCI196647 LME196647 LWA196647 MFW196647 MPS196647 MZO196647 NJK196647 NTG196647 ODC196647 OMY196647 OWU196647 PGQ196647 PQM196647 QAI196647 QKE196647 QUA196647 RDW196647 RNS196647 RXO196647 SHK196647 SRG196647 TBC196647 TKY196647 TUU196647 UEQ196647 UOM196647 UYI196647 VIE196647 VSA196647 WBW196647 WLS196647 WVO196647 G262183 JC262183 SY262183 ACU262183 AMQ262183 AWM262183 BGI262183 BQE262183 CAA262183 CJW262183 CTS262183 DDO262183 DNK262183 DXG262183 EHC262183 EQY262183 FAU262183 FKQ262183 FUM262183 GEI262183 GOE262183 GYA262183 HHW262183 HRS262183 IBO262183 ILK262183 IVG262183 JFC262183 JOY262183 JYU262183 KIQ262183 KSM262183 LCI262183 LME262183 LWA262183 MFW262183 MPS262183 MZO262183 NJK262183 NTG262183 ODC262183 OMY262183 OWU262183 PGQ262183" xr:uid="{00000000-0002-0000-0B00-000039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PQM262183 QAI262183 QKE262183 QUA262183 RDW262183 RNS262183 RXO262183 SHK262183 SRG262183 TBC262183 TKY262183 TUU262183 UEQ262183 UOM262183 UYI262183 VIE262183 VSA262183 WBW262183 WLS262183 WVO262183 G327719 JC327719 SY327719 ACU327719 AMQ327719 AWM327719 BGI327719 BQE327719 CAA327719 CJW327719 CTS327719 DDO327719 DNK327719 DXG327719 EHC327719 EQY327719 FAU327719 FKQ327719 FUM327719 GEI327719 GOE327719 GYA327719 HHW327719 HRS327719 IBO327719 ILK327719 IVG327719 JFC327719 JOY327719 JYU327719 KIQ327719 KSM327719 LCI327719 LME327719 LWA327719 MFW327719 MPS327719 MZO327719 NJK327719 NTG327719 ODC327719 OMY327719 OWU327719 PGQ327719 PQM327719 QAI327719 QKE327719 QUA327719 RDW327719 RNS327719 RXO327719 SHK327719 SRG327719 TBC327719 TKY327719 TUU327719 UEQ327719 UOM327719 UYI327719 VIE327719 VSA327719 WBW327719 WLS327719 WVO327719 G393255 JC393255 SY393255 ACU393255 AMQ393255 AWM393255 BGI393255 BQE393255 CAA393255 CJW393255 CTS393255 DDO393255 DNK393255 DXG393255 EHC393255 EQY393255" xr:uid="{00000000-0002-0000-0B00-00003A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FAU393255 FKQ393255 FUM393255 GEI393255 GOE393255 GYA393255 HHW393255 HRS393255 IBO393255 ILK393255 IVG393255 JFC393255 JOY393255 JYU393255 KIQ393255 KSM393255 LCI393255 LME393255 LWA393255 MFW393255 MPS393255 MZO393255 NJK393255 NTG393255 ODC393255 OMY393255 OWU393255 PGQ393255 PQM393255 QAI393255 QKE393255 QUA393255 RDW393255 RNS393255 RXO393255 SHK393255 SRG393255 TBC393255 TKY393255 TUU393255 UEQ393255 UOM393255 UYI393255 VIE393255 VSA393255 WBW393255 WLS393255 WVO393255 G458791 JC458791 SY458791 ACU458791 AMQ458791 AWM458791 BGI458791 BQE458791 CAA458791 CJW458791 CTS458791 DDO458791 DNK458791 DXG458791 EHC458791 EQY458791 FAU458791 FKQ458791 FUM458791 GEI458791 GOE458791 GYA458791 HHW458791 HRS458791 IBO458791 ILK458791 IVG458791 JFC458791 JOY458791 JYU458791 KIQ458791 KSM458791 LCI458791 LME458791 LWA458791 MFW458791 MPS458791 MZO458791 NJK458791 NTG458791 ODC458791 OMY458791 OWU458791 PGQ458791 PQM458791 QAI458791 QKE458791 QUA458791 RDW458791 RNS458791 RXO458791 SHK458791" xr:uid="{00000000-0002-0000-0B00-00003B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SRG458791 TBC458791 TKY458791 TUU458791 UEQ458791 UOM458791 UYI458791 VIE458791 VSA458791 WBW458791 WLS458791 WVO458791 G524327 JC524327 SY524327 ACU524327 AMQ524327 AWM524327 BGI524327 BQE524327 CAA524327 CJW524327 CTS524327 DDO524327 DNK524327 DXG524327 EHC524327 EQY524327 FAU524327 FKQ524327 FUM524327 GEI524327 GOE524327 GYA524327 HHW524327 HRS524327 IBO524327 ILK524327 IVG524327 JFC524327 JOY524327 JYU524327 KIQ524327 KSM524327 LCI524327 LME524327 LWA524327 MFW524327 MPS524327 MZO524327 NJK524327 NTG524327 ODC524327 OMY524327 OWU524327 PGQ524327 PQM524327 QAI524327 QKE524327 QUA524327 RDW524327 RNS524327 RXO524327 SHK524327 SRG524327 TBC524327 TKY524327 TUU524327 UEQ524327 UOM524327 UYI524327 VIE524327 VSA524327 WBW524327 WLS524327 WVO524327 G589863 JC589863 SY589863 ACU589863 AMQ589863 AWM589863 BGI589863 BQE589863 CAA589863 CJW589863 CTS589863 DDO589863 DNK589863 DXG589863 EHC589863 EQY589863 FAU589863 FKQ589863 FUM589863 GEI589863 GOE589863 GYA589863 HHW589863 HRS589863" xr:uid="{00000000-0002-0000-0B00-00003C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IBO589863 ILK589863 IVG589863 JFC589863 JOY589863 JYU589863 KIQ589863 KSM589863 LCI589863 LME589863 LWA589863 MFW589863 MPS589863 MZO589863 NJK589863 NTG589863 ODC589863 OMY589863 OWU589863 PGQ589863 PQM589863 QAI589863 QKE589863 QUA589863 RDW589863 RNS589863 RXO589863 SHK589863 SRG589863 TBC589863 TKY589863 TUU589863 UEQ589863 UOM589863 UYI589863 VIE589863 VSA589863 WBW589863 WLS589863 WVO589863 G655399 JC655399 SY655399 ACU655399 AMQ655399 AWM655399 BGI655399 BQE655399 CAA655399 CJW655399 CTS655399 DDO655399 DNK655399 DXG655399 EHC655399 EQY655399 FAU655399 FKQ655399 FUM655399 GEI655399 GOE655399 GYA655399 HHW655399 HRS655399 IBO655399 ILK655399 IVG655399 JFC655399 JOY655399 JYU655399 KIQ655399 KSM655399 LCI655399 LME655399 LWA655399 MFW655399 MPS655399 MZO655399 NJK655399 NTG655399 ODC655399 OMY655399 OWU655399 PGQ655399 PQM655399 QAI655399 QKE655399 QUA655399 RDW655399 RNS655399 RXO655399 SHK655399 SRG655399 TBC655399 TKY655399 TUU655399 UEQ655399 UOM655399 UYI655399 VIE655399" xr:uid="{00000000-0002-0000-0B00-00003D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VSA655399 WBW655399 WLS655399 WVO655399 G720935 JC720935 SY720935 ACU720935 AMQ720935 AWM720935 BGI720935 BQE720935 CAA720935 CJW720935 CTS720935 DDO720935 DNK720935 DXG720935 EHC720935 EQY720935 FAU720935 FKQ720935 FUM720935 GEI720935 GOE720935 GYA720935 HHW720935 HRS720935 IBO720935 ILK720935 IVG720935 JFC720935 JOY720935 JYU720935 KIQ720935 KSM720935 LCI720935 LME720935 LWA720935 MFW720935 MPS720935 MZO720935 NJK720935 NTG720935 ODC720935 OMY720935 OWU720935 PGQ720935 PQM720935 QAI720935 QKE720935 QUA720935 RDW720935 RNS720935 RXO720935 SHK720935 SRG720935 TBC720935 TKY720935 TUU720935 UEQ720935 UOM720935 UYI720935 VIE720935 VSA720935 WBW720935 WLS720935 WVO720935 G786471 JC786471 SY786471 ACU786471 AMQ786471 AWM786471 BGI786471 BQE786471 CAA786471 CJW786471 CTS786471 DDO786471 DNK786471 DXG786471 EHC786471 EQY786471 FAU786471 FKQ786471 FUM786471 GEI786471 GOE786471 GYA786471 HHW786471 HRS786471 IBO786471 ILK786471 IVG786471 JFC786471 JOY786471 JYU786471 KIQ786471 KSM786471" xr:uid="{00000000-0002-0000-0B00-00003E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LCI786471 LME786471 LWA786471 MFW786471 MPS786471 MZO786471 NJK786471 NTG786471 ODC786471 OMY786471 OWU786471 PGQ786471 PQM786471 QAI786471 QKE786471 QUA786471 RDW786471 RNS786471 RXO786471 SHK786471 SRG786471 TBC786471 TKY786471 TUU786471 UEQ786471 UOM786471 UYI786471 VIE786471 VSA786471 WBW786471 WLS786471 WVO786471 G852007 JC852007 SY852007 ACU852007 AMQ852007 AWM852007 BGI852007 BQE852007 CAA852007 CJW852007 CTS852007 DDO852007 DNK852007 DXG852007 EHC852007 EQY852007 FAU852007 FKQ852007 FUM852007 GEI852007 GOE852007 GYA852007 HHW852007 HRS852007 IBO852007 ILK852007 IVG852007 JFC852007 JOY852007 JYU852007 KIQ852007 KSM852007 LCI852007 LME852007 LWA852007 MFW852007 MPS852007 MZO852007 NJK852007 NTG852007 ODC852007 OMY852007 OWU852007 PGQ852007 PQM852007 QAI852007 QKE852007 QUA852007 RDW852007 RNS852007 RXO852007 SHK852007 SRG852007 TBC852007 TKY852007 TUU852007 UEQ852007 UOM852007 UYI852007 VIE852007 VSA852007 WBW852007 WLS852007 WVO852007 G917543 JC917543 SY917543 ACU917543" xr:uid="{00000000-0002-0000-0B00-00003F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AMQ917543 AWM917543 BGI917543 BQE917543 CAA917543 CJW917543 CTS917543 DDO917543 DNK917543 DXG917543 EHC917543 EQY917543 FAU917543 FKQ917543 FUM917543 GEI917543 GOE917543 GYA917543 HHW917543 HRS917543 IBO917543 ILK917543 IVG917543 JFC917543 JOY917543 JYU917543 KIQ917543 KSM917543 LCI917543 LME917543 LWA917543 MFW917543 MPS917543 MZO917543 NJK917543 NTG917543 ODC917543 OMY917543 OWU917543 PGQ917543 PQM917543 QAI917543 QKE917543 QUA917543 RDW917543 RNS917543 RXO917543 SHK917543 SRG917543 TBC917543 TKY917543 TUU917543 UEQ917543 UOM917543 UYI917543 VIE917543 VSA917543 WBW917543 WLS917543 WVO917543 G983079 JC983079 SY983079 ACU983079 AMQ983079 AWM983079 BGI983079 BQE983079 CAA983079 CJW983079 CTS983079 DDO983079 DNK983079 DXG983079 EHC983079 EQY983079 FAU983079 FKQ983079 FUM983079 GEI983079 GOE983079 GYA983079 HHW983079 HRS983079 IBO983079 ILK983079 IVG983079 JFC983079 JOY983079 JYU983079 KIQ983079 KSM983079 LCI983079 LME983079 LWA983079 MFW983079 MPS983079 MZO983079 NJK983079 NTG983079" xr:uid="{00000000-0002-0000-0B00-000040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MY983079 OWU983079 PGQ983079 PQM983079 QAI983079 QKE983079 QUA983079 RDW983079 RNS983079 RXO983079 SHK983079 SRG983079 TBC983079 TKY983079 TUU983079 UEQ983079 UOM983079 UYI983079 VIE983079 VSA983079 WBW983079 WLS983079 WVO983079" xr:uid="{00000000-0002-0000-0B00-000041000000}">
      <formula1>0</formula1>
      <formula2>IZ39-JA39-JB39</formula2>
    </dataValidation>
    <dataValidation type="whole" allowBlank="1" showInputMessage="1" showErrorMessage="1" errorTitle="Input error" error="The amount entered should be rounded to the nearest dollar and should not exceed the remaining ESSER III fund balance (column D minus column E)." sqref="MFV65575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xr:uid="{00000000-0002-0000-0B00-000042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xr:uid="{00000000-0002-0000-0B00-000043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xr:uid="{00000000-0002-0000-0B00-000044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xr:uid="{00000000-0002-0000-0B00-000045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xr:uid="{00000000-0002-0000-0B00-000046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xr:uid="{00000000-0002-0000-0B00-000047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xr:uid="{00000000-0002-0000-0B00-000048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xr:uid="{00000000-0002-0000-0B00-000049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xr:uid="{00000000-0002-0000-0B00-00004A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xr:uid="{00000000-0002-0000-0B00-00004B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ODB983079 OMX983079 OWT983079 PGP983079 PQL983079 QAH983079 QKD983079 QTZ983079 RDV983079 RNR983079 RXN983079 SHJ983079 SRF983079 TBB983079 TKX983079 TUT983079 UEP983079 UOL983079 UYH983079 VID983079 VRZ983079 WBV983079 WLR983079 WVN983079" xr:uid="{00000000-0002-0000-0B00-00004C000000}">
      <formula1>0</formula1>
      <formula2>D39-E39</formula2>
    </dataValidation>
    <dataValidation type="whole" allowBlank="1" showInputMessage="1" showErrorMessage="1" errorTitle="Input error" error="The amount entered should be rounded to the nearest dollar and should not exceed the remaining GEER fund balance (column D minus column E)." sqref="MFV65576 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xr:uid="{00000000-0002-0000-0B00-00004D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xr:uid="{00000000-0002-0000-0B00-00004E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xr:uid="{00000000-0002-0000-0B00-00004F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xr:uid="{00000000-0002-0000-0B00-000050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xr:uid="{00000000-0002-0000-0B00-000051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xr:uid="{00000000-0002-0000-0B00-000052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xr:uid="{00000000-0002-0000-0B00-000053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xr:uid="{00000000-0002-0000-0B00-000054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xr:uid="{00000000-0002-0000-0B00-000055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xr:uid="{00000000-0002-0000-0B00-000056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ODB983080 OMX983080 OWT983080 PGP983080 PQL983080 QAH983080 QKD983080 QTZ983080 RDV983080 RNR983080 RXN983080 SHJ983080 SRF983080 TBB983080 TKX983080 TUT983080 UEP983080 UOL983080 UYH983080 VID983080 VRZ983080 WBV983080 WLR983080 WVN983080" xr:uid="{00000000-0002-0000-0B00-000057000000}">
      <formula1>0</formula1>
      <formula2>D40-E40</formula2>
    </dataValidation>
    <dataValidation type="whole" allowBlank="1" showInputMessage="1" showErrorMessage="1" errorTitle="Input error" error="The amount entered should be rounded to the nearest dollar and should not exceed the remaining ESG Fund balance (column D minus column E)." sqref="MFV65577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xr:uid="{00000000-0002-0000-0B00-000058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xr:uid="{00000000-0002-0000-0B00-00005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xr:uid="{00000000-0002-0000-0B00-00005A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xr:uid="{00000000-0002-0000-0B00-00005B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xr:uid="{00000000-0002-0000-0B00-00005C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xr:uid="{00000000-0002-0000-0B00-00005D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xr:uid="{00000000-0002-0000-0B00-00005E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xr:uid="{00000000-0002-0000-0B00-00005F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xr:uid="{00000000-0002-0000-0B00-000060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xr:uid="{00000000-0002-0000-0B00-000061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ODB983081 OMX983081 OWT983081 PGP983081 PQL983081 QAH983081 QKD983081 QTZ983081 RDV983081 RNR983081 RXN983081 SHJ983081 SRF983081 TBB983081 TKX983081 TUT983081 UEP983081 UOL983081 UYH983081 VID983081 VRZ983081 WBV983081 WLR983081 WVN983081" xr:uid="{00000000-0002-0000-0B00-000062000000}">
      <formula1>0</formula1>
      <formula2>D41-E41</formula2>
    </dataValidation>
    <dataValidation type="whole" allowBlank="1" showInputMessage="1" showErrorMessage="1" errorTitle="Input error" error="The amount entered should be rounded to the nearest dollar and should not exceed the remaining ESSER II fund balance (column D minus column E)." sqref="MFV65574 JC38 SY38 ACU38 AMQ38 AWM38 BGI38 BQE38 CAA38 CJW38 CTS38 DDO38 DNK38 DXG38 EHC38 EQY38 FAU38 FKQ38 FUM38 GEI38 GOE38 GYA38 HHW38 HRS38 IBO38 ILK38 IVG38 JFC38 JOY38 JYU38 KIQ38 KSM38 LCI38 LME38 LWA38 MFW38 MPS38 MZO38 NJK38 NTG38 ODC38 OMY38 OWU38 PGQ38 PQM38 QAI38 QKE38 QUA38 RDW38 RNS38 RXO38 SHK38 SRG38 TBC38 TKY38 TUU38 UEQ38 UOM38 UYI38 VIE38 VSA38 WBW38 WLS38 WVO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xr:uid="{00000000-0002-0000-0B00-000063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xr:uid="{00000000-0002-0000-0B00-000064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xr:uid="{00000000-0002-0000-0B00-000065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xr:uid="{00000000-0002-0000-0B00-000066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xr:uid="{00000000-0002-0000-0B00-00006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xr:uid="{00000000-0002-0000-0B00-000068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xr:uid="{00000000-0002-0000-0B00-000069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xr:uid="{00000000-0002-0000-0B00-00006A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xr:uid="{00000000-0002-0000-0B00-00006B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xr:uid="{00000000-0002-0000-0B00-00006C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ODB983078 OMX983078 OWT983078 PGP983078 PQL983078 QAH983078 QKD983078 QTZ983078 RDV983078 RNR983078 RXN983078 SHJ983078 SRF983078 TBB983078 TKX983078 TUT983078 UEP983078 UOL983078 UYH983078 VID983078 VRZ983078 WBV983078 WLR983078 WVN983078" xr:uid="{00000000-0002-0000-0B00-00006D000000}">
      <formula1>0</formula1>
      <formula2>D38-E38</formula2>
    </dataValidation>
    <dataValidation type="whole" allowBlank="1" showInputMessage="1" showErrorMessage="1" errorTitle="Input error" error="The amount entered should be rounded to the nearest dollar and should not exceed the remaining ESSER I fund balance (column D minus column E)." sqref="MFV65573 JC37 SY37 ACU37 AMQ37 AWM37 BGI37 BQE37 CAA37 CJW37 CTS37 DDO37 DNK37 DXG37 EHC37 EQY37 FAU37 FKQ37 FUM37 GEI37 GOE37 GYA37 HHW37 HRS37 IBO37 ILK37 IVG37 JFC37 JOY37 JYU37 KIQ37 KSM37 LCI37 LME37 LWA37 MFW37 MPS37 MZO37 NJK37 NTG37 ODC37 OMY37 OWU37 PGQ37 PQM37 QAI37 QKE37 QUA37 RDW37 RNS37 RXO37 SHK37 SRG37 TBC37 TKY37 TUU37 UEQ37 UOM37 UYI37 VIE37 VSA37 WBW37 WLS37 WVO37 F65573 JB65573 SX65573 ACT65573 AMP65573 AWL65573 BGH65573 BQD65573 BZZ65573 CJV65573 CTR65573 DDN65573 DNJ65573 DXF65573 EHB65573 EQX65573 FAT65573 FKP65573 FUL65573 GEH65573 GOD65573 GXZ65573 HHV65573 HRR65573 IBN65573 ILJ65573 IVF65573 JFB65573 JOX65573 JYT65573 KIP65573 KSL65573 LCH65573 LMD65573 LVZ65573" xr:uid="{00000000-0002-0000-0B00-00006E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MPR65573 MZN65573 NJJ65573 NTF65573 ODB65573 OMX65573 OWT65573 PGP65573 PQL65573 QAH65573 QKD65573 QTZ65573 RDV65573 RNR65573 RXN65573 SHJ65573 SRF65573 TBB65573 TKX65573 TUT65573 UEP65573 UOL65573 UYH65573 VID65573 VRZ65573 WBV65573 WLR65573 WVN65573 F131109 JB131109 SX131109 ACT131109 AMP131109 AWL131109 BGH131109 BQD131109 BZZ131109 CJV131109 CTR131109 DDN131109 DNJ131109 DXF131109 EHB131109 EQX131109 FAT131109 FKP131109 FUL131109 GEH131109 GOD131109 GXZ131109 HHV131109 HRR131109 IBN131109 ILJ131109 IVF131109 JFB131109 JOX131109 JYT131109 KIP131109 KSL131109 LCH131109 LMD131109 LVZ131109 MFV131109 MPR131109 MZN131109 NJJ131109 NTF131109 ODB131109 OMX131109 OWT131109 PGP131109 PQL131109 QAH131109 QKD131109 QTZ131109 RDV131109 RNR131109 RXN131109 SHJ131109 SRF131109 TBB131109 TKX131109 TUT131109 UEP131109 UOL131109 UYH131109 VID131109 VRZ131109 WBV131109 WLR131109 WVN131109 F196645 JB196645 SX196645 ACT196645 AMP196645 AWL196645 BGH196645 BQD196645" xr:uid="{00000000-0002-0000-0B00-00006F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BZZ196645 CJV196645 CTR196645 DDN196645 DNJ196645 DXF196645 EHB196645 EQX196645 FAT196645 FKP196645 FUL196645 GEH196645 GOD196645 GXZ196645 HHV196645 HRR196645 IBN196645 ILJ196645 IVF196645 JFB196645 JOX196645 JYT196645 KIP196645 KSL196645 LCH196645 LMD196645 LVZ196645 MFV196645 MPR196645 MZN196645 NJJ196645 NTF196645 ODB196645 OMX196645 OWT196645 PGP196645 PQL196645 QAH196645 QKD196645 QTZ196645 RDV196645 RNR196645 RXN196645 SHJ196645 SRF196645 TBB196645 TKX196645 TUT196645 UEP196645 UOL196645 UYH196645 VID196645 VRZ196645 WBV196645 WLR196645 WVN196645 F262181 JB262181 SX262181 ACT262181 AMP262181 AWL262181 BGH262181 BQD262181 BZZ262181 CJV262181 CTR262181 DDN262181 DNJ262181 DXF262181 EHB262181 EQX262181 FAT262181 FKP262181 FUL262181 GEH262181 GOD262181 GXZ262181 HHV262181 HRR262181 IBN262181 ILJ262181 IVF262181 JFB262181 JOX262181 JYT262181 KIP262181 KSL262181 LCH262181 LMD262181 LVZ262181 MFV262181 MPR262181 MZN262181 NJJ262181 NTF262181 ODB262181 OMX262181 OWT262181 PGP262181" xr:uid="{00000000-0002-0000-0B00-000070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PQL262181 QAH262181 QKD262181 QTZ262181 RDV262181 RNR262181 RXN262181 SHJ262181 SRF262181 TBB262181 TKX262181 TUT262181 UEP262181 UOL262181 UYH262181 VID262181 VRZ262181 WBV262181 WLR262181 WVN262181 F327717 JB327717 SX327717 ACT327717 AMP327717 AWL327717 BGH327717 BQD327717 BZZ327717 CJV327717 CTR327717 DDN327717 DNJ327717 DXF327717 EHB327717 EQX327717 FAT327717 FKP327717 FUL327717 GEH327717 GOD327717 GXZ327717 HHV327717 HRR327717 IBN327717 ILJ327717 IVF327717 JFB327717 JOX327717 JYT327717 KIP327717 KSL327717 LCH327717 LMD327717 LVZ327717 MFV327717 MPR327717 MZN327717 NJJ327717 NTF327717 ODB327717 OMX327717 OWT327717 PGP327717 PQL327717 QAH327717 QKD327717 QTZ327717 RDV327717 RNR327717 RXN327717 SHJ327717 SRF327717 TBB327717 TKX327717 TUT327717 UEP327717 UOL327717 UYH327717 VID327717 VRZ327717 WBV327717 WLR327717 WVN327717 F393253 JB393253 SX393253 ACT393253 AMP393253 AWL393253 BGH393253 BQD393253 BZZ393253 CJV393253 CTR393253 DDN393253 DNJ393253 DXF393253 EHB393253 EQX393253" xr:uid="{00000000-0002-0000-0B00-000071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FAT393253 FKP393253 FUL393253 GEH393253 GOD393253 GXZ393253 HHV393253 HRR393253 IBN393253 ILJ393253 IVF393253 JFB393253 JOX393253 JYT393253 KIP393253 KSL393253 LCH393253 LMD393253 LVZ393253 MFV393253 MPR393253 MZN393253 NJJ393253 NTF393253 ODB393253 OMX393253 OWT393253 PGP393253 PQL393253 QAH393253 QKD393253 QTZ393253 RDV393253 RNR393253 RXN393253 SHJ393253 SRF393253 TBB393253 TKX393253 TUT393253 UEP393253 UOL393253 UYH393253 VID393253 VRZ393253 WBV393253 WLR393253 WVN393253 F458789 JB458789 SX458789 ACT458789 AMP458789 AWL458789 BGH458789 BQD458789 BZZ458789 CJV458789 CTR458789 DDN458789 DNJ458789 DXF458789 EHB458789 EQX458789 FAT458789 FKP458789 FUL458789 GEH458789 GOD458789 GXZ458789 HHV458789 HRR458789 IBN458789 ILJ458789 IVF458789 JFB458789 JOX458789 JYT458789 KIP458789 KSL458789 LCH458789 LMD458789 LVZ458789 MFV458789 MPR458789 MZN458789 NJJ458789 NTF458789 ODB458789 OMX458789 OWT458789 PGP458789 PQL458789 QAH458789 QKD458789 QTZ458789 RDV458789 RNR458789 RXN458789 SHJ458789" xr:uid="{00000000-0002-0000-0B00-000072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SRF458789 TBB458789 TKX458789 TUT458789 UEP458789 UOL458789 UYH458789 VID458789 VRZ458789 WBV458789 WLR458789 WVN458789 F524325 JB524325 SX524325 ACT524325 AMP524325 AWL524325 BGH524325 BQD524325 BZZ524325 CJV524325 CTR524325 DDN524325 DNJ524325 DXF524325 EHB524325 EQX524325 FAT524325 FKP524325 FUL524325 GEH524325 GOD524325 GXZ524325 HHV524325 HRR524325 IBN524325 ILJ524325 IVF524325 JFB524325 JOX524325 JYT524325 KIP524325 KSL524325 LCH524325 LMD524325 LVZ524325 MFV524325 MPR524325 MZN524325 NJJ524325 NTF524325 ODB524325 OMX524325 OWT524325 PGP524325 PQL524325 QAH524325 QKD524325 QTZ524325 RDV524325 RNR524325 RXN524325 SHJ524325 SRF524325 TBB524325 TKX524325 TUT524325 UEP524325 UOL524325 UYH524325 VID524325 VRZ524325 WBV524325 WLR524325 WVN524325 F589861 JB589861 SX589861 ACT589861 AMP589861 AWL589861 BGH589861 BQD589861 BZZ589861 CJV589861 CTR589861 DDN589861 DNJ589861 DXF589861 EHB589861 EQX589861 FAT589861 FKP589861 FUL589861 GEH589861 GOD589861 GXZ589861 HHV589861 HRR589861" xr:uid="{00000000-0002-0000-0B00-000073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IBN589861 ILJ589861 IVF589861 JFB589861 JOX589861 JYT589861 KIP589861 KSL589861 LCH589861 LMD589861 LVZ589861 MFV589861 MPR589861 MZN589861 NJJ589861 NTF589861 ODB589861 OMX589861 OWT589861 PGP589861 PQL589861 QAH589861 QKD589861 QTZ589861 RDV589861 RNR589861 RXN589861 SHJ589861 SRF589861 TBB589861 TKX589861 TUT589861 UEP589861 UOL589861 UYH589861 VID589861 VRZ589861 WBV589861 WLR589861 WVN589861 F655397 JB655397 SX655397 ACT655397 AMP655397 AWL655397 BGH655397 BQD655397 BZZ655397 CJV655397 CTR655397 DDN655397 DNJ655397 DXF655397 EHB655397 EQX655397 FAT655397 FKP655397 FUL655397 GEH655397 GOD655397 GXZ655397 HHV655397 HRR655397 IBN655397 ILJ655397 IVF655397 JFB655397 JOX655397 JYT655397 KIP655397 KSL655397 LCH655397 LMD655397 LVZ655397 MFV655397 MPR655397 MZN655397 NJJ655397 NTF655397 ODB655397 OMX655397 OWT655397 PGP655397 PQL655397 QAH655397 QKD655397 QTZ655397 RDV655397 RNR655397 RXN655397 SHJ655397 SRF655397 TBB655397 TKX655397 TUT655397 UEP655397 UOL655397 UYH655397 VID655397" xr:uid="{00000000-0002-0000-0B00-000074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VRZ655397 WBV655397 WLR655397 WVN655397 F720933 JB720933 SX720933 ACT720933 AMP720933 AWL720933 BGH720933 BQD720933 BZZ720933 CJV720933 CTR720933 DDN720933 DNJ720933 DXF720933 EHB720933 EQX720933 FAT720933 FKP720933 FUL720933 GEH720933 GOD720933 GXZ720933 HHV720933 HRR720933 IBN720933 ILJ720933 IVF720933 JFB720933 JOX720933 JYT720933 KIP720933 KSL720933 LCH720933 LMD720933 LVZ720933 MFV720933 MPR720933 MZN720933 NJJ720933 NTF720933 ODB720933 OMX720933 OWT720933 PGP720933 PQL720933 QAH720933 QKD720933 QTZ720933 RDV720933 RNR720933 RXN720933 SHJ720933 SRF720933 TBB720933 TKX720933 TUT720933 UEP720933 UOL720933 UYH720933 VID720933 VRZ720933 WBV720933 WLR720933 WVN720933 F786469 JB786469 SX786469 ACT786469 AMP786469 AWL786469 BGH786469 BQD786469 BZZ786469 CJV786469 CTR786469 DDN786469 DNJ786469 DXF786469 EHB786469 EQX786469 FAT786469 FKP786469 FUL786469 GEH786469 GOD786469 GXZ786469 HHV786469 HRR786469 IBN786469 ILJ786469 IVF786469 JFB786469 JOX786469 JYT786469 KIP786469 KSL786469" xr:uid="{00000000-0002-0000-0B00-000075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LCH786469 LMD786469 LVZ786469 MFV786469 MPR786469 MZN786469 NJJ786469 NTF786469 ODB786469 OMX786469 OWT786469 PGP786469 PQL786469 QAH786469 QKD786469 QTZ786469 RDV786469 RNR786469 RXN786469 SHJ786469 SRF786469 TBB786469 TKX786469 TUT786469 UEP786469 UOL786469 UYH786469 VID786469 VRZ786469 WBV786469 WLR786469 WVN786469 F852005 JB852005 SX852005 ACT852005 AMP852005 AWL852005 BGH852005 BQD852005 BZZ852005 CJV852005 CTR852005 DDN852005 DNJ852005 DXF852005 EHB852005 EQX852005 FAT852005 FKP852005 FUL852005 GEH852005 GOD852005 GXZ852005 HHV852005 HRR852005 IBN852005 ILJ852005 IVF852005 JFB852005 JOX852005 JYT852005 KIP852005 KSL852005 LCH852005 LMD852005 LVZ852005 MFV852005 MPR852005 MZN852005 NJJ852005 NTF852005 ODB852005 OMX852005 OWT852005 PGP852005 PQL852005 QAH852005 QKD852005 QTZ852005 RDV852005 RNR852005 RXN852005 SHJ852005 SRF852005 TBB852005 TKX852005 TUT852005 UEP852005 UOL852005 UYH852005 VID852005 VRZ852005 WBV852005 WLR852005 WVN852005 F917541 JB917541 SX917541 ACT917541" xr:uid="{00000000-0002-0000-0B00-000076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AMP917541 AWL917541 BGH917541 BQD917541 BZZ917541 CJV917541 CTR917541 DDN917541 DNJ917541 DXF917541 EHB917541 EQX917541 FAT917541 FKP917541 FUL917541 GEH917541 GOD917541 GXZ917541 HHV917541 HRR917541 IBN917541 ILJ917541 IVF917541 JFB917541 JOX917541 JYT917541 KIP917541 KSL917541 LCH917541 LMD917541 LVZ917541 MFV917541 MPR917541 MZN917541 NJJ917541 NTF917541 ODB917541 OMX917541 OWT917541 PGP917541 PQL917541 QAH917541 QKD917541 QTZ917541 RDV917541 RNR917541 RXN917541 SHJ917541 SRF917541 TBB917541 TKX917541 TUT917541 UEP917541 UOL917541 UYH917541 VID917541 VRZ917541 WBV917541 WLR917541 WVN917541 F983077 JB983077 SX983077 ACT983077 AMP983077 AWL983077 BGH983077 BQD983077 BZZ983077 CJV983077 CTR983077 DDN983077 DNJ983077 DXF983077 EHB983077 EQX983077 FAT983077 FKP983077 FUL983077 GEH983077 GOD983077 GXZ983077 HHV983077 HRR983077 IBN983077 ILJ983077 IVF983077 JFB983077 JOX983077 JYT983077 KIP983077 KSL983077 LCH983077 LMD983077 LVZ983077 MFV983077 MPR983077 MZN983077 NJJ983077 NTF983077" xr:uid="{00000000-0002-0000-0B00-000077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ODB983077 OMX983077 OWT983077 PGP983077 PQL983077 QAH983077 QKD983077 QTZ983077 RDV983077 RNR983077 RXN983077 SHJ983077 SRF983077 TBB983077 TKX983077 TUT983077 UEP983077 UOL983077 UYH983077 VID983077 VRZ983077 WBV983077 WLR983077 WVN983077" xr:uid="{00000000-0002-0000-0B00-000078000000}">
      <formula1>0</formula1>
      <formula2>D37-E37</formula2>
    </dataValidation>
    <dataValidation type="whole" allowBlank="1" showInputMessage="1" showErrorMessage="1" errorTitle="Input error" error="The amount entered should be rounded to the nearest dollar and should not exceed the remaining Other funds balance (column D minus column E)." sqref="MFV65578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xr:uid="{00000000-0002-0000-0B00-000079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xr:uid="{00000000-0002-0000-0B00-00007A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xr:uid="{00000000-0002-0000-0B00-00007B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xr:uid="{00000000-0002-0000-0B00-00007C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xr:uid="{00000000-0002-0000-0B00-00007D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xr:uid="{00000000-0002-0000-0B00-00007E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xr:uid="{00000000-0002-0000-0B00-00007F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xr:uid="{00000000-0002-0000-0B00-000080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xr:uid="{00000000-0002-0000-0B00-000081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xr:uid="{00000000-0002-0000-0B00-000082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ODB983082 OMX983082 OWT983082 PGP983082 PQL983082 QAH983082 QKD983082 QTZ983082 RDV983082 RNR983082 RXN983082 SHJ983082 SRF983082 TBB983082 TKX983082 TUT983082 UEP983082 UOL983082 UYH983082 VID983082 VRZ983082 WBV983082 WLR983082 WVN983082" xr:uid="{00000000-0002-0000-0B00-000083000000}">
      <formula1>0</formula1>
      <formula2>D42-E42</formula2>
    </dataValidation>
    <dataValidation type="whole" operator="greaterThanOrEqual" allowBlank="1" showInputMessage="1" showErrorMessage="1" errorTitle="Input error" error="The amount entered should be rounded to the nearest dollar and be greater than or equal to zero." sqref="J24:J26 JF24:JF26 TB24:TB26 ACX24:ACX26 AMT24:AMT26 AWP24:AWP26 BGL24:BGL26 BQH24:BQH26 CAD24:CAD26 CJZ24:CJZ26 CTV24:CTV26 DDR24:DDR26 DNN24:DNN26 DXJ24:DXJ26 EHF24:EHF26 ERB24:ERB26 FAX24:FAX26 FKT24:FKT26 FUP24:FUP26 GEL24:GEL26 GOH24:GOH26 GYD24:GYD26 HHZ24:HHZ26 HRV24:HRV26 IBR24:IBR26 ILN24:ILN26 IVJ24:IVJ26 JFF24:JFF26 JPB24:JPB26 JYX24:JYX26 KIT24:KIT26 KSP24:KSP26 LCL24:LCL26 LMH24:LMH26 LWD24:LWD26 MFZ24:MFZ26 MPV24:MPV26 MZR24:MZR26 NJN24:NJN26 NTJ24:NTJ26 ODF24:ODF26 ONB24:ONB26 OWX24:OWX26 PGT24:PGT26 PQP24:PQP26 QAL24:QAL26 QKH24:QKH26 QUD24:QUD26 RDZ24:RDZ26 RNV24:RNV26 RXR24:RXR26 SHN24:SHN26 SRJ24:SRJ26 TBF24:TBF26 TLB24:TLB26 TUX24:TUX26 UET24:UET26 UOP24:UOP26 UYL24:UYL26 VIH24:VIH26 VSD24:VSD26 WBZ24:WBZ26 WLV24:WLV26 WVR24:WVR26 J65560:J65562 JF65560:JF65562 TB65560:TB65562 ACX65560:ACX65562 AMT65560:AMT65562 AWP65560:AWP65562 BGL65560:BGL65562 BQH65560:BQH65562 CAD65560:CAD65562 CJZ65560:CJZ65562 CTV65560:CTV65562 DDR65560:DDR65562 DNN65560:DNN65562 DXJ65560:DXJ65562 EHF65560:EHF65562 ERB65560:ERB65562 FAX65560:FAX65562 FKT65560:FKT65562 FUP65560:FUP65562 GEL65560:GEL65562 GOH65560:GOH65562 GYD65560:GYD65562 HHZ65560:HHZ65562 HRV65560:HRV65562 IBR65560:IBR65562 ILN65560:ILN65562 IVJ65560:IVJ65562 JFF65560:JFF65562 JPB65560:JPB65562 JYX65560:JYX65562 KIT65560:KIT65562 KSP65560:KSP65562 LCL65560:LCL65562 LMH65560:LMH65562 LWD65560:LWD65562 MFZ65560:MFZ65562 JPD983050:JPD983058 JYZ983050:JYZ983058 KIV983050:KIV983058 KSR983050:KSR983058 LCN983050:LCN983058 LMJ983050:LMJ983058 LWF983050:LWF983058 MGB983050:MGB983058 MPX983050:MPX983058 MZT983050:MZT983058 NJP983050:NJP983058 NTL983050:NTL983058 ODH983050:ODH983058 OND983050:OND983058 OWZ983050:OWZ983058 PGV983050:PGV983058 PQR983050:PQR983058 QAN983050:QAN983058 QKJ983050:QKJ983058 QUF983050:QUF983058 REB983050:REB983058 RNX983050:RNX983058 RXT983050:RXT983058 SHP983050:SHP983058 SRL983050:SRL983058 TBH983050:TBH983058 TLD983050:TLD983058 TUZ983050:TUZ983058 UEV983050:UEV983058 UOR983050:UOR983058 UYN983050:UYN983058 VIJ983050:VIJ983058 VSF983050:VSF983058 WCB983050:WCB983058 WLX983050:WLX983058 WVT983050:WVT983058 IBT851978:IBT851986 ILP851978:ILP851986 IVL851978:IVL851986 JFH851978:JFH851986 JPD851978:JPD851986 JYZ851978:JYZ851986 KIV851978:KIV851986 KSR851978:KSR851986 LCN851978:LCN851986 LMJ851978:LMJ851986 LWF851978:LWF851986 MGB851978:MGB851986 MPX851978:MPX851986 MZT851978:MZT851986 NJP851978:NJP851986 NTL851978:NTL851986 ODH851978:ODH851986 OND851978:OND851986 OWZ851978:OWZ851986 PGV851978:PGV851986 PQR851978:PQR851986 QAN851978:QAN851986 QKJ851978:QKJ851986 QUF851978:QUF851986 REB851978:REB851986 RNX851978:RNX851986 RXT851978:RXT851986 SHP851978:SHP851986 SRL851978:SRL851986 TBH851978:TBH851986 TLD851978:TLD851986 TUZ851978:TUZ851986 IBT917514:IBT917522 ILP917514:ILP917522 IVL917514:IVL917522 JFH917514:JFH917522 JPD917514:JPD917522 JYZ917514:JYZ917522 KIV917514:KIV917522 KSR917514:KSR917522 LCN917514:LCN917522 LMJ917514:LMJ917522 LWF917514:LWF917522 MGB917514:MGB917522 MPX917514:MPX917522 MZT917514:MZT917522 NJP917514:NJP917522 NTL917514:NTL917522 ODH917514:ODH917522 OND917514:OND917522 OWZ917514:OWZ917522 PGV917514:PGV917522 PQR917514:PQR917522 QAN917514:QAN917522 QKJ917514:QKJ917522 QUF917514:QUF917522 REB917514:REB917522 RNX917514:RNX917522 RXT917514:RXT917522 SHP917514:SHP917522 SRL917514:SRL917522 TBH917514:TBH917522 TLD917514:TLD917522 TUZ917514:TUZ917522 UEV917514:UEV917522 UOR917514:UOR917522 UYN917514:UYN917522 VIJ917514:VIJ917522 SRL720906:SRL720914 TBH720906:TBH720914 TLD720906:TLD720914 TUZ720906:TUZ720914 UEV720906:UEV720914 UOR720906:UOR720914 UYN720906:UYN720914 VIJ720906:VIJ720914 VSF720906:VSF720914 WCB720906:WCB720914 WLX720906:WLX720914 WVT720906:WVT720914 L786442:L786450 JH786442:JH786450 TD786442:TD786450 ACZ786442:ACZ786450 AMV786442:AMV786450 AWR786442:AWR786450 BGN786442:BGN786450 BQJ786442:BQJ786450 CAF786442:CAF786450 CKB786442:CKB786450 CTX786442:CTX786450 DDT786442:DDT786450 DNP786442:DNP786450 DXL786442:DXL786450 EHH786442:EHH786450 ERD786442:ERD786450 FAZ786442:FAZ786450 FKV786442:FKV786450 FUR786442:FUR786450 GEN786442:GEN786450 VSF917514:VSF917522 WCB917514:WCB917522 WLX917514:WLX917522 WVT917514:WVT917522 L983050:L983058 JH983050:JH983058 TD983050:TD983058 ACZ983050:ACZ983058 AMV983050:AMV983058 AWR983050:AWR983058 BGN983050:BGN983058 BQJ983050:BQJ983058 CAF983050:CAF983058 CKB983050:CKB983058 CTX983050:CTX983058 DDT983050:DDT983058 DNP983050:DNP983058 DXL983050:DXL983058 EHH983050:EHH983058 ERD983050:ERD983058 FAZ983050:FAZ983058 FKV983050:FKV983058 FUR983050:FUR983058 GEN983050:GEN983058 GOJ983050:GOJ983058 GYF983050:GYF983058 HIB983050:HIB983058 HRX983050:HRX983058 IBT983050:IBT983058 ILP983050:ILP983058 IVL983050:IVL983058 JFH983050:JFH983058 SRL786442:SRL786450 TBH786442:TBH786450 TLD786442:TLD786450 TUZ786442:TUZ786450 UEV786442:UEV786450 UOR786442:UOR786450 UYN786442:UYN786450 VIJ786442:VIJ786450 VSF786442:VSF786450 WCB786442:WCB786450 WLX786442:WLX786450 WVT786442:WVT786450 L851978:L851986 JH851978:JH851986 TD851978:TD851986 ACZ851978:ACZ851986 AMV851978:AMV851986 AWR851978:AWR851986 BGN851978:BGN851986 BQJ851978:BQJ851986 CAF851978:CAF851986 CKB851978:CKB851986 CTX851978:CTX851986 DDT851978:DDT851986 DNP851978:DNP851986 DXL851978:DXL851986 EHH851978:EHH851986 ERD851978:ERD851986 FAZ851978:FAZ851986 FKV851978:FKV851986 FUR851978:FUR851986 GEN851978:GEN851986 GOJ851978:GOJ851986 GYF851978:GYF851986 HIB851978:HIB851986 HRX851978:HRX851986 FAZ655370:FAZ655378 FKV655370:FKV655378 FUR655370:FUR655378 GEN655370:GEN655378 GOJ655370:GOJ655378 GYF655370:GYF655378 HIB655370:HIB655378 HRX655370:HRX655378 IBT655370:IBT655378 ILP655370:ILP655378 IVL655370:IVL655378 JFH655370:JFH655378 JPD655370:JPD655378 JYZ655370:JYZ655378 KIV655370:KIV655378 KSR655370:KSR655378 LCN655370:LCN655378 LMJ655370:LMJ655378 LWF655370:LWF655378 MGB655370:MGB655378 MPX655370:MPX655378 MZT655370:MZT655378 NJP655370:NJP655378 NTL655370:NTL655378 ODH655370:ODH655378 OND655370:OND655378 OWZ655370:OWZ655378 PGV655370:PGV655378 PQR655370:PQR655378 QAN655370:QAN655378 QKJ655370:QKJ655378 QUF655370:QUF655378 UEV851978:UEV851986 UOR851978:UOR851986 UYN851978:UYN851986 VIJ851978:VIJ851986 VSF851978:VSF851986 WCB851978:WCB851986 WLX851978:WLX851986 WVT851978:WVT851986 L917514:L917522 JH917514:JH917522 TD917514:TD917522 ACZ917514:ACZ917522 AMV917514:AMV917522 AWR917514:AWR917522 BGN917514:BGN917522 BQJ917514:BQJ917522 CAF917514:CAF917522 CKB917514:CKB917522 CTX917514:CTX917522 DDT917514:DDT917522 DNP917514:DNP917522 DXL917514:DXL917522 EHH917514:EHH917522 ERD917514:ERD917522 FAZ917514:FAZ917522 FKV917514:FKV917522 FUR917514:FUR917522 GEN917514:GEN917522 GOJ917514:GOJ917522 GYF917514:GYF917522 HIB917514:HIB917522 HRX917514:HRX917522 FAZ720906:FAZ720914 FKV720906:FKV720914 FUR720906:FUR720914 GEN720906:GEN720914 GOJ720906:GOJ720914 GYF720906:GYF720914 HIB720906:HIB720914 HRX720906:HRX720914 IBT720906:IBT720914 ILP720906:ILP720914 IVL720906:IVL720914 JFH720906:JFH720914 JPD720906:JPD720914 JYZ720906:JYZ720914 KIV720906:KIV720914 KSR720906:KSR720914 LCN720906:LCN720914 LMJ720906:LMJ720914 LWF720906:LWF720914 MGB720906:MGB720914 MPX720906:MPX720914 MZT720906:MZT720914 NJP720906:NJP720914 NTL720906:NTL720914 ODH720906:ODH720914 OND720906:OND720914 OWZ720906:OWZ720914 PGV720906:PGV720914 PQR720906:PQR720914 QAN720906:QAN720914 QKJ720906:QKJ720914 QUF720906:QUF720914 REB720906:REB720914 RNX720906:RNX720914 RXT720906:RXT720914 SHP720906:SHP720914 PQR524298:PQR524306 QAN524298:QAN524306 QKJ524298:QKJ524306 QUF524298:QUF524306 REB524298:REB524306 RNX524298:RNX524306 RXT524298:RXT524306 SHP524298:SHP524306 SRL524298:SRL524306 TBH524298:TBH524306 TLD524298:TLD524306 TUZ524298:TUZ524306 UEV524298:UEV524306 UOR524298:UOR524306 UYN524298:UYN524306 VIJ524298:VIJ524306 VSF524298:VSF524306 WCB524298:WCB524306 WLX524298:WLX524306 WVT524298:WVT524306 L589834:L589842 JH589834:JH589842 TD589834:TD589842 ACZ589834:ACZ589842 AMV589834:AMV589842 AWR589834:AWR589842 BGN589834:BGN589842 BQJ589834:BQJ589842 CAF589834:CAF589842 CKB589834:CKB589842 CTX589834:CTX589842 DDT589834:DDT589842 GOJ786442:GOJ786450 GYF786442:GYF786450 HIB786442:HIB786450 HRX786442:HRX786450 IBT786442:IBT786450 ILP786442:ILP786450 IVL786442:IVL786450 JFH786442:JFH786450 JPD786442:JPD786450 JYZ786442:JYZ786450 KIV786442:KIV786450 KSR786442:KSR786450 LCN786442:LCN786450 LMJ786442:LMJ786450 LWF786442:LWF786450 MGB786442:MGB786450 MPX786442:MPX786450 MZT786442:MZT786450 NJP786442:NJP786450 NTL786442:NTL786450 ODH786442:ODH786450 OND786442:OND786450 OWZ786442:OWZ786450 PGV786442:PGV786450 PQR786442:PQR786450 QAN786442:QAN786450 QKJ786442:QKJ786450 QUF786442:QUF786450 REB786442:REB786450 RNX786442:RNX786450 RXT786442:RXT786450 SHP786442:SHP786450 PQR589834:PQR589842 QAN589834:QAN589842 QKJ589834:QKJ589842 QUF589834:QUF589842 REB589834:REB589842 RNX589834:RNX589842 RXT589834:RXT589842 SHP589834:SHP589842 SRL589834:SRL589842 TBH589834:TBH589842 TLD589834:TLD589842 TUZ589834:TUZ589842 UEV589834:UEV589842 UOR589834:UOR589842 UYN589834:UYN589842 VIJ589834:VIJ589842 VSF589834:VSF589842 WCB589834:WCB589842 WLX589834:WLX589842 WVT589834:WVT589842 L655370:L655378 JH655370:JH655378 TD655370:TD655378 ACZ655370:ACZ655378 AMV655370:AMV655378 AWR655370:AWR655378 BGN655370:BGN655378 BQJ655370:BQJ655378 CAF655370:CAF655378 CKB655370:CKB655378 CTX655370:CTX655378 DDT655370:DDT655378 DNP655370:DNP655378 DXL655370:DXL655378 EHH655370:EHH655378 ERD655370:ERD655378 CAF458762:CAF458770 CKB458762:CKB458770 CTX458762:CTX458770 DDT458762:DDT458770 DNP458762:DNP458770 DXL458762:DXL458770 EHH458762:EHH458770 ERD458762:ERD458770 FAZ458762:FAZ458770 FKV458762:FKV458770 FUR458762:FUR458770 GEN458762:GEN458770 GOJ458762:GOJ458770 GYF458762:GYF458770 HIB458762:HIB458770 HRX458762:HRX458770 IBT458762:IBT458770 ILP458762:ILP458770 IVL458762:IVL458770 JFH458762:JFH458770 JPD458762:JPD458770 JYZ458762:JYZ458770 KIV458762:KIV458770 KSR458762:KSR458770 LCN458762:LCN458770 LMJ458762:LMJ458770 LWF458762:LWF458770 MGB458762:MGB458770 MPX458762:MPX458770 MZT458762:MZT458770 NJP458762:NJP458770 NTL458762:NTL458770 REB655370:REB655378 RNX655370:RNX655378 RXT655370:RXT655378 SHP655370:SHP655378 SRL655370:SRL655378 TBH655370:TBH655378 TLD655370:TLD655378 TUZ655370:TUZ655378 UEV655370:UEV655378 UOR655370:UOR655378 UYN655370:UYN655378 VIJ655370:VIJ655378 VSF655370:VSF655378 WCB655370:WCB655378 WLX655370:WLX655378 WVT655370:WVT655378 L720906:L720914 JH720906:JH720914 TD720906:TD720914 ACZ720906:ACZ720914 AMV720906:AMV720914 AWR720906:AWR720914 BGN720906:BGN720914 BQJ720906:BQJ720914 CAF720906:CAF720914 CKB720906:CKB720914 CTX720906:CTX720914 DDT720906:DDT720914 DNP720906:DNP720914 DXL720906:DXL720914 EHH720906:EHH720914 ERD720906:ERD720914 CAF524298:CAF524306 CKB524298:CKB524306 CTX524298:CTX524306 DDT524298:DDT524306 DNP524298:DNP524306 DXL524298:DXL524306 EHH524298:EHH524306 ERD524298:ERD524306 FAZ524298:FAZ524306 FKV524298:FKV524306 FUR524298:FUR524306 GEN524298:GEN524306 GOJ524298:GOJ524306 GYF524298:GYF524306 HIB524298:HIB524306 HRX524298:HRX524306 IBT524298:IBT524306 ILP524298:ILP524306 IVL524298:IVL524306 JFH524298:JFH524306 JPD524298:JPD524306 JYZ524298:JYZ524306 KIV524298:KIV524306 KSR524298:KSR524306 LCN524298:LCN524306 LMJ524298:LMJ524306 LWF524298:LWF524306 MGB524298:MGB524306 MPX524298:MPX524306 MZT524298:MZT524306 NJP524298:NJP524306 NTL524298:NTL524306 ODH524298:ODH524306 OND524298:OND524306 OWZ524298:OWZ524306 PGV524298:PGV524306 MPX327690:MPX327698 MZT327690:MZT327698 NJP327690:NJP327698 NTL327690:NTL327698 ODH327690:ODH327698 OND327690:OND327698 OWZ327690:OWZ327698 PGV327690:PGV327698 PQR327690:PQR327698 QAN327690:QAN327698 QKJ327690:QKJ327698 QUF327690:QUF327698 REB327690:REB327698 RNX327690:RNX327698 RXT327690:RXT327698 SHP327690:SHP327698 SRL327690:SRL327698 TBH327690:TBH327698 TLD327690:TLD327698 TUZ327690:TUZ327698 UEV327690:UEV327698 UOR327690:UOR327698 UYN327690:UYN327698 VIJ327690:VIJ327698 VSF327690:VSF327698 WCB327690:WCB327698 WLX327690:WLX327698 WVT327690:WVT327698 L393226:L393234 JH393226:JH393234 TD393226:TD393234 ACZ393226:ACZ393234 DNP589834:DNP589842 DXL589834:DXL589842 EHH589834:EHH589842 ERD589834:ERD589842 FAZ589834:FAZ589842 FKV589834:FKV589842 FUR589834:FUR589842 GEN589834:GEN589842 GOJ589834:GOJ589842 GYF589834:GYF589842 HIB589834:HIB589842 HRX589834:HRX589842 IBT589834:IBT589842 ILP589834:ILP589842 IVL589834:IVL589842 JFH589834:JFH589842 JPD589834:JPD589842 JYZ589834:JYZ589842 KIV589834:KIV589842 KSR589834:KSR589842 LCN589834:LCN589842 LMJ589834:LMJ589842 LWF589834:LWF589842 MGB589834:MGB589842 MPX589834:MPX589842 MZT589834:MZT589842 NJP589834:NJP589842 NTL589834:NTL589842 ODH589834:ODH589842 OND589834:OND589842 OWZ589834:OWZ589842 PGV589834:PGV589842 MPX393226:MPX393234 MZT393226:MZT393234 NJP393226:NJP393234 NTL393226:NTL393234 ODH393226:ODH393234 OND393226:OND393234 OWZ393226:OWZ393234 PGV393226:PGV393234 PQR393226:PQR393234 QAN393226:QAN393234 QKJ393226:QKJ393234 QUF393226:QUF393234 REB393226:REB393234 RNX393226:RNX393234 RXT393226:RXT393234 SHP393226:SHP393234 SRL393226:SRL393234 TBH393226:TBH393234 TLD393226:TLD393234 TUZ393226:TUZ393234 UEV393226:UEV393234 UOR393226:UOR393234 UYN393226:UYN393234 VIJ393226:VIJ393234 VSF393226:VSF393234 WCB393226:WCB393234 WLX393226:WLX393234 WVT393226:WVT393234 L458762:L458770 JH458762:JH458770 TD458762:TD458770 ACZ458762:ACZ458770 AMV458762:AMV458770 AWR458762:AWR458770 BGN458762:BGN458770 BQJ458762:BQJ458770 L262154:L262162 JH262154:JH262162 TD262154:TD262162 ACZ262154:ACZ262162 AMV262154:AMV262162 AWR262154:AWR262162 BGN262154:BGN262162 BQJ262154:BQJ262162 CAF262154:CAF262162 CKB262154:CKB262162 CTX262154:CTX262162 DDT262154:DDT262162 DNP262154:DNP262162 DXL262154:DXL262162 EHH262154:EHH262162 ERD262154:ERD262162 FAZ262154:FAZ262162 FKV262154:FKV262162 FUR262154:FUR262162 GEN262154:GEN262162 GOJ262154:GOJ262162 GYF262154:GYF262162 HIB262154:HIB262162 HRX262154:HRX262162 IBT262154:IBT262162 ILP262154:ILP262162 IVL262154:IVL262162 JFH262154:JFH262162 JPD262154:JPD262162 JYZ262154:JYZ262162 KIV262154:KIV262162 KSR262154:KSR262162 ODH458762:ODH458770 OND458762:OND458770 OWZ458762:OWZ458770 PGV458762:PGV458770 PQR458762:PQR458770 QAN458762:QAN458770 QKJ458762:QKJ458770 QUF458762:QUF458770 REB458762:REB458770 RNX458762:RNX458770 RXT458762:RXT458770 SHP458762:SHP458770 SRL458762:SRL458770 TBH458762:TBH458770 TLD458762:TLD458770 TUZ458762:TUZ458770 UEV458762:UEV458770 UOR458762:UOR458770 UYN458762:UYN458770 VIJ458762:VIJ458770 VSF458762:VSF458770 WCB458762:WCB458770 WLX458762:WLX458770 WVT458762:WVT458770 L524298:L524306 JH524298:JH524306 TD524298:TD524306 ACZ524298:ACZ524306 AMV524298:AMV524306 AWR524298:AWR524306 BGN524298:BGN524306 BQJ524298:BQJ524306 L327690:L327698 JH327690:JH327698 TD327690:TD327698 ACZ327690:ACZ327698 AMV327690:AMV327698 AWR327690:AWR327698 BGN327690:BGN327698 BQJ327690:BQJ327698 CAF327690:CAF327698 CKB327690:CKB327698 CTX327690:CTX327698 DDT327690:DDT327698 DNP327690:DNP327698 DXL327690:DXL327698 EHH327690:EHH327698 ERD327690:ERD327698 FAZ327690:FAZ327698 FKV327690:FKV327698 FUR327690:FUR327698 GEN327690:GEN327698 GOJ327690:GOJ327698 GYF327690:GYF327698 HIB327690:HIB327698 HRX327690:HRX327698 IBT327690:IBT327698 ILP327690:ILP327698 IVL327690:IVL327698 JFH327690:JFH327698 JPD327690:JPD327698 JYZ327690:JYZ327698 KIV327690:KIV327698 KSR327690:KSR327698 LCN327690:LCN327698 LMJ327690:LMJ327698 LWF327690:LWF327698 MGB327690:MGB327698 JPD131082:JPD131090 JYZ131082:JYZ131090 KIV131082:KIV131090 KSR131082:KSR131090 LCN131082:LCN131090 LMJ131082:LMJ131090 LWF131082:LWF131090 MGB131082:MGB131090 MPX131082:MPX131090 MZT131082:MZT131090 NJP131082:NJP131090 NTL131082:NTL131090 ODH131082:ODH131090 OND131082:OND131090 OWZ131082:OWZ131090 PGV131082:PGV131090 PQR131082:PQR131090 QAN131082:QAN131090 QKJ131082:QKJ131090 QUF131082:QUF131090 REB131082:REB131090 RNX131082:RNX131090 RXT131082:RXT131090 SHP131082:SHP131090 SRL131082:SRL131090 TBH131082:TBH131090 TLD131082:TLD131090 TUZ131082:TUZ131090 UEV131082:UEV131090 UOR131082:UOR131090 UYN131082:UYN131090 VIJ131082:VIJ131090 AMV393226:AMV393234 AWR393226:AWR393234 BGN393226:BGN393234 BQJ393226:BQJ393234 CAF393226:CAF393234 CKB393226:CKB393234 CTX393226:CTX393234 DDT393226:DDT393234 DNP393226:DNP393234 DXL393226:DXL393234 EHH393226:EHH393234 ERD393226:ERD393234 FAZ393226:FAZ393234 FKV393226:FKV393234 FUR393226:FUR393234 GEN393226:GEN393234 GOJ393226:GOJ393234 GYF393226:GYF393234 HIB393226:HIB393234 HRX393226:HRX393234 IBT393226:IBT393234 ILP393226:ILP393234 IVL393226:IVL393234 JFH393226:JFH393234 JPD393226:JPD393234 JYZ393226:JYZ393234 KIV393226:KIV393234 KSR393226:KSR393234 LCN393226:LCN393234 LMJ393226:LMJ393234 LWF393226:LWF393234 MGB393226:MGB393234 JPD196618:JPD196626 JYZ196618:JYZ196626 KIV196618:KIV196626 KSR196618:KSR196626 LCN196618:LCN196626 LMJ196618:LMJ196626 LWF196618:LWF196626 MGB196618:MGB196626 MPX196618:MPX196626 MZT196618:MZT196626 NJP196618:NJP196626 NTL196618:NTL196626 ODH196618:ODH196626 OND196618:OND196626 OWZ196618:OWZ196626 PGV196618:PGV196626 PQR196618:PQR196626 QAN196618:QAN196626 QKJ196618:QKJ196626 QUF196618:QUF196626 REB196618:REB196626 RNX196618:RNX196626 RXT196618:RXT196626 SHP196618:SHP196626 SRL196618:SRL196626 TBH196618:TBH196626 TLD196618:TLD196626 TUZ196618:TUZ196626 UEV196618:UEV196626 UOR196618:UOR196626 UYN196618:UYN196626 VIJ196618:VIJ196626 VSF196618:VSF196626 WCB196618:WCB196626 WLX196618:WLX196626 WVT196618:WVT196626 UEV10:UEV18 UOR10:UOR18 UYN10:UYN18 VIJ10:VIJ18 VSF10:VSF18 WCB10:WCB18 WLX10:WLX18 WVT10:WVT18 L65546:L65554 JH65546:JH65554 TD65546:TD65554 ACZ65546:ACZ65554 AMV65546:AMV65554 AWR65546:AWR65554 BGN65546:BGN65554 BQJ65546:BQJ65554 CAF65546:CAF65554 CKB65546:CKB65554 CTX65546:CTX65554 DDT65546:DDT65554 DNP65546:DNP65554 DXL65546:DXL65554 EHH65546:EHH65554 ERD65546:ERD65554 FAZ65546:FAZ65554 FKV65546:FKV65554 FUR65546:FUR65554 GEN65546:GEN65554 GOJ65546:GOJ65554 GYF65546:GYF65554 HIB65546:HIB65554 HRX65546:HRX65554 LCN262154:LCN262162 LMJ262154:LMJ262162 LWF262154:LWF262162 MGB262154:MGB262162 MPX262154:MPX262162 MZT262154:MZT262162 NJP262154:NJP262162 NTL262154:NTL262162 ODH262154:ODH262162 OND262154:OND262162 OWZ262154:OWZ262162 PGV262154:PGV262162 PQR262154:PQR262162 QAN262154:QAN262162 QKJ262154:QKJ262162 QUF262154:QUF262162 REB262154:REB262162 RNX262154:RNX262162 RXT262154:RXT262162 SHP262154:SHP262162 SRL262154:SRL262162 TBH262154:TBH262162 TLD262154:TLD262162 TUZ262154:TUZ262162 UEV262154:UEV262162 UOR262154:UOR262162 UYN262154:UYN262162 VIJ262154:VIJ262162 VSF262154:VSF262162 WCB262154:WCB262162 WLX262154:WLX262162 WVT262154:WVT262162 UEV65546:UEV65554 UOR65546:UOR65554 UYN65546:UYN65554 VIJ65546:VIJ65554 VSF65546:VSF65554 WCB65546:WCB65554 WLX65546:WLX65554 WVT65546:WVT65554 L131082:L131090 JH131082:JH131090 TD131082:TD131090 ACZ131082:ACZ131090 AMV131082:AMV131090 AWR131082:AWR131090 BGN131082:BGN131090 BQJ131082:BQJ131090 CAF131082:CAF131090 CKB131082:CKB131090 CTX131082:CTX131090 DDT131082:DDT131090 DNP131082:DNP131090 DXL131082:DXL131090 EHH131082:EHH131090 ERD131082:ERD131090 FAZ131082:FAZ131090 FKV131082:FKV131090 FUR131082:FUR131090 GEN131082:GEN131090 GOJ131082:GOJ131090 GYF131082:GYF131090 HIB131082:HIB131090 HRX131082:HRX131090 IBT131082:IBT131090 ILP131082:ILP131090 IVL131082:IVL131090 JFH131082:JFH131090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VSF131082:VSF131090 WCB131082:WCB131090 WLX131082:WLX131090 WVT131082:WVT131090 L196618:L196626 JH196618:JH196626 TD196618:TD196626 ACZ196618:ACZ196626 AMV196618:AMV196626 AWR196618:AWR196626 BGN196618:BGN196626 BQJ196618:BQJ196626 CAF196618:CAF196626 CKB196618:CKB196626 CTX196618:CTX196626 DDT196618:DDT196626 DNP196618:DNP196626 DXL196618:DXL196626 EHH196618:EHH196626 ERD196618:ERD196626 FAZ196618:FAZ196626 FKV196618:FKV196626 FUR196618:FUR196626 GEN196618:GEN196626 GOJ196618:GOJ196626 GYF196618:GYF196626 HIB196618:HIB196626 HRX196618:HRX196626 IBT196618:IBT196626 ILP196618:ILP196626 IVL196618:IVL196626 JFH196618:JFH196626 GOJ10:GOJ18 GYF10:GYF18 HIB10:HIB18 HRX10:HRX18 IBT10:IBT18 ILP10:ILP18 IVL10:IVL18 JFH10:JFH18 JPD10:JPD18 JYZ10:JYZ18 KIV10:KIV18 KSR10:KSR18 LCN10:LCN18 LMJ10:LMJ18 LWF10:LWF18 MGB10:MGB18 MPX10:MPX18 MZT10:MZT18 NJP10:NJP18 NTL10:NTL18 ODH10:ODH18 OND10:OND18 OWZ10:OWZ18 PGV10:PGV18 PQR10:PQR18 QAN10:QAN18 QKJ10:QKJ18 QUF10:QUF18 REB10:REB18 RNX10:RNX18 RXT10:RXT18 SHP10:SHP18 SRL10:SRL18 TBH10:TBH18 TLD10:TLD18 TUZ10:TUZ18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IBT65546:IBT65554 ILP65546:ILP65554 IVL65546:IVL65554 JFH65546:JFH65554 JPD65546:JPD65554 JYZ65546:JYZ65554 KIV65546:KIV65554 KSR65546:KSR65554 LCN65546:LCN65554 LMJ65546:LMJ65554 LWF65546:LWF65554 MGB65546:MGB65554 MPX65546:MPX65554 MZT65546:MZT65554 NJP65546:NJP65554 NTL65546:NTL65554 ODH65546:ODH65554 OND65546:OND65554 OWZ65546:OWZ65554 PGV65546:PGV65554 PQR65546:PQR65554 QAN65546:QAN65554 QKJ65546:QKJ65554 QUF65546:QUF65554 REB65546:REB65554 RNX65546:RNX65554 RXT65546:RXT65554 SHP65546:SHP65554 SRL65546:SRL65554 TBH65546:TBH65554 TLD65546:TLD65554 TUZ65546:TUZ65554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FAX983062 FKT983062 FUP983062 GEL983062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SRJ983062 TBF983062 TLB983062 TUX983062 UET983062 UOP983062 UYL983062 VIH983062 VSD983062 WBZ983062 WLV983062 WVR983062 L10:L18 JH10:JH18 TD10:TD18 ACZ10:ACZ18 AMV10:AMV18 AWR10:AWR18 BGN10:BGN18 BQJ10:BQJ18 CAF10:CAF18 CKB10:CKB18 CTX10:CTX18 DDT10:DDT18 DNP10:DNP18 DXL10:DXL18 EHH10:EHH18 ERD10:ERD18 FAZ10:FAZ18 FKV10:FKV18 FUR10:FUR18 GEN10:GEN18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PQP851990 QAL851990 QKH851990 QUD851990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CAD786454 CJZ786454 CTV786454 DDR786454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MPV655382 MZR655382 NJN655382 NTJ655382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J589846 JF589846 TB589846 ACX589846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JPB458774 JYX458774 KIT458774 KSP458774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UET327702 UOP327702 UYL327702 VIH327702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GOH262166 GYD262166 HHZ262166 HRV262166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RDZ131094 RNV131094 RXR131094 SHN131094 PQJ983066:PQJ983068 QAF983066:QAF983068 QKB983066:QKB983068 QTX983066:QTX983068 RDT983066:RDT983068 RNP983066:RNP983068 RXL983066:RXL983068 SHH983066:SHH983068 SRD983066:SRD983068 TAZ983066:TAZ983068 TKV983066:TKV983068 TUR983066:TUR983068 UEN983066:UEN983068 UOJ983066:UOJ983068 UYF983066:UYF983068 VIB983066:VIB983068 VRX983066:VRX983068 WBT983066:WBT983068 WLP983066:WLP983068 WVL983066:WVL983068 J22 JF22 TB22 ACX22 AMT22 AWP22 BGL22 BQH22 CAD22 CJZ22 CTV22 DDR22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PQP22 QAL22 QKH22 QUD22 RDZ22 RNV22 RXR22 SHN22 SRJ22 TBF22 TLB22 TUX22 UET22 UOP22 UYL22 VIH22 VSD22 WBZ22 WLV22 WVR22 J65558 JF65558 TB65558 ACX65558 AMT65558 AWP65558 BGL65558 BQH65558 CAD65558 CJZ65558 CTV65558 DDR65558 DNN65558 DXJ65558 EHF65558 ERB65558 BZX917530:BZX917532 CJT917530:CJT917532 CTP917530:CTP917532 DDL917530:DDL917532 DNH917530:DNH917532 DXD917530:DXD917532 EGZ917530:EGZ917532 EQV917530:EQV917532 FAR917530:FAR917532 FKN917530:FKN917532 FUJ917530:FUJ917532 GEF917530:GEF917532 GOB917530:GOB917532 GXX917530:GXX917532 HHT917530:HHT917532 HRP917530:HRP917532 IBL917530:IBL917532 ILH917530:ILH917532 IVD917530:IVD917532 JEZ917530:JEZ917532 JOV917530:JOV917532 JYR917530:JYR917532 KIN917530:KIN917532 KSJ917530:KSJ917532 LCF917530:LCF917532 LMB917530:LMB917532 LVX917530:LVX917532 MFT917530:MFT917532 MPP917530:MPP917532 MZL917530:MZL917532 NJH917530:NJH917532 NTD917530:NTD917532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BZX983066:BZX983068 CJT983066:CJT983068 CTP983066:CTP983068 DDL983066:DDL983068 DNH983066:DNH983068 DXD983066:DXD983068 EGZ983066:EGZ983068 EQV983066:EQV983068 FAR983066:FAR983068 FKN983066:FKN983068 FUJ983066:FUJ983068 GEF983066:GEF983068 GOB983066:GOB983068 GXX983066:GXX983068 HHT983066:HHT983068 HRP983066:HRP983068 IBL983066:IBL983068 ILH983066:ILH983068 IVD983066:IVD983068 JEZ983066:JEZ983068 JOV983066:JOV983068 JYR983066:JYR983068 KIN983066:KIN983068 KSJ983066:KSJ983068 LCF983066:LCF983068 LMB983066:LMB983068 LVX983066:LVX983068 MFT983066:MFT983068 MPP983066:MPP983068 MZL983066:MZL983068 NJH983066:NJH983068 NTD983066:NTD983068 OCZ983066:OCZ983068 OMV983066:OMV983068 OWR983066:OWR983068 PGN983066:PGN983068 MPP786458:MPP786460 MZL786458:MZL786460 NJH786458:NJH786460 NTD786458:NTD786460 OCZ786458:OCZ786460 OMV786458:OMV786460 OWR786458:OWR786460 PGN786458:PGN786460 PQJ786458:PQJ786460 QAF786458:QAF786460 QKB786458:QKB786460 QTX786458:QTX786460 RDT786458:RDT786460 RNP786458:RNP786460 RXL786458:RXL786460 SHH786458:SHH786460 SRD786458:SRD786460 TAZ786458:TAZ786460 TKV786458:TKV786460 TUR786458:TUR786460 UEN786458:UEN786460 UOJ786458:UOJ786460 UYF786458:UYF786460 VIB786458:VIB786460 VRX786458:VRX786460 WBT786458:WBT786460 WLP786458:WLP786460 WVL786458:WVL786460 D851994:D851996 IZ851994:IZ851996 SV851994:SV851996 ACR851994:ACR851996 DNN22 DXJ22 EHF22 ERB22 FAX22 FKT22 FUP22 GEL22 GOH22 GYD22 HHZ22 HRV22 IBR22 ILN22 IVJ22 JFF22 JPB22 JYX22 KIT22 KSP22 LCL22 LMH22 LWD22 MFZ22 MPV22 MZR22 NJN22 NTJ22 ODF22 ONB22 OWX22 PGT22 MPP851994:MPP851996 MZL851994:MZL851996 NJH851994:NJH851996 NTD851994:NTD851996 OCZ851994:OCZ851996 OMV851994:OMV851996 OWR851994:OWR851996 PGN851994:PGN851996 PQJ851994:PQJ851996 QAF851994:QAF851996 QKB851994:QKB851996 QTX851994:QTX851996 RDT851994:RDT851996 RNP851994:RNP851996 RXL851994:RXL851996 SHH851994:SHH851996 SRD851994:SRD851996 TAZ851994:TAZ851996 TKV851994:TKV851996 TUR851994:TUR851996 UEN851994:UEN851996 UOJ851994:UOJ851996 UYF851994:UYF851996 VIB851994:VIB851996 VRX851994:VRX851996 WBT851994:WBT851996 WLP851994:WLP851996 WVL851994:WVL851996 D917530:D917532 IZ917530:IZ917532 SV917530:SV917532 ACR917530:ACR917532 AMN917530:AMN917532 AWJ917530:AWJ917532 BGF917530:BGF917532 BQB917530:BQB917532 D720922:D720924 IZ720922:IZ720924 SV720922:SV720924 ACR720922:ACR720924 AMN720922:AMN720924 AWJ720922:AWJ720924 BGF720922:BGF720924 BQB720922:BQB720924 BZX720922:BZX720924 CJT720922:CJT720924 CTP720922:CTP720924 DDL720922:DDL720924 DNH720922:DNH720924 DXD720922:DXD720924 EGZ720922:EGZ720924 EQV720922:EQV720924 FAR720922:FAR720924 FKN720922:FKN720924 FUJ720922:FUJ720924 GEF720922:GEF720924 GOB720922:GOB720924 GXX720922:GXX720924 HHT720922:HHT720924 HRP720922:HRP720924 IBL720922:IBL720924 ILH720922:ILH720924 IVD720922:IVD720924 JEZ720922:JEZ720924 JOV720922:JOV720924 JYR720922:JYR720924 KIN720922:KIN720924 KSJ720922:KSJ720924 OCZ917530:OCZ917532 OMV917530:OMV917532 OWR917530:OWR917532 PGN917530:PGN917532 PQJ917530:PQJ917532 QAF917530:QAF917532 QKB917530:QKB917532 QTX917530:QTX917532 RDT917530:RDT917532 RNP917530:RNP917532 RXL917530:RXL917532 SHH917530:SHH917532 SRD917530:SRD917532 TAZ917530:TAZ917532 TKV917530:TKV917532 TUR917530:TUR917532 UEN917530:UEN917532 UOJ917530:UOJ917532 UYF917530:UYF917532 VIB917530:VIB917532 VRX917530:VRX917532 WBT917530:WBT917532 WLP917530:WLP917532 WVL917530:WVL917532 D983066:D983068 IZ983066:IZ983068 SV983066:SV983068 ACR983066:ACR983068 AMN983066:AMN983068 AWJ983066:AWJ983068 BGF983066:BGF983068 BQB983066:BQB983068 D786458:D786460 IZ786458:IZ786460 SV786458:SV786460 ACR786458:ACR786460 AMN786458:AMN786460 AWJ786458:AWJ786460 BGF786458:BGF786460 BQB786458:BQB786460 BZX786458:BZX786460 CJT786458:CJT786460 CTP786458:CTP786460 DDL786458:DDL786460 DNH786458:DNH786460 DXD786458:DXD786460 EGZ786458:EGZ786460 EQV786458:EQV786460 FAR786458:FAR786460 FKN786458:FKN786460 FUJ786458:FUJ786460 GEF786458:GEF786460 GOB786458:GOB786460 GXX786458:GXX786460 HHT786458:HHT786460 HRP786458:HRP786460 IBL786458:IBL786460 ILH786458:ILH786460 IVD786458:IVD786460 JEZ786458:JEZ786460 JOV786458:JOV786460 JYR786458:JYR786460 KIN786458:KIN786460 KSJ786458:KSJ786460 LCF786458:LCF786460 LMB786458:LMB786460 LVX786458:LVX786460 MFT786458:MFT786460 JOV589850:JOV589852 JYR589850:JYR589852 KIN589850:KIN589852 KSJ589850:KSJ589852 LCF589850:LCF589852 LMB589850:LMB589852 LVX589850:LVX589852 MFT589850:MFT589852 MPP589850:MPP589852 MZL589850:MZL589852 NJH589850:NJH589852 NTD589850:NTD589852 OCZ589850:OCZ589852 OMV589850:OMV589852 OWR589850:OWR589852 PGN589850:PGN589852 PQJ589850:PQJ589852 QAF589850:QAF589852 QKB589850:QKB589852 QTX589850:QTX589852 RDT589850:RDT589852 RNP589850:RNP589852 RXL589850:RXL589852 SHH589850:SHH589852 SRD589850:SRD589852 TAZ589850:TAZ589852 TKV589850:TKV589852 TUR589850:TUR589852 UEN589850:UEN589852 UOJ589850:UOJ589852 UYF589850:UYF589852 VIB589850:VIB589852 AMN851994:AMN851996 AWJ851994:AWJ851996 BGF851994:BGF851996 BQB851994:BQB851996 BZX851994:BZX851996 CJT851994:CJT851996 CTP851994:CTP851996 DDL851994:DDL851996 DNH851994:DNH851996 DXD851994:DXD851996 EGZ851994:EGZ851996 EQV851994:EQV851996 FAR851994:FAR851996 FKN851994:FKN851996 FUJ851994:FUJ851996 GEF851994:GEF851996 GOB851994:GOB851996 GXX851994:GXX851996 HHT851994:HHT851996 HRP851994:HRP851996 IBL851994:IBL851996 ILH851994:ILH851996 IVD851994:IVD851996 JEZ851994:JEZ851996 JOV851994:JOV851996 JYR851994:JYR851996 KIN851994:KIN851996 KSJ851994:KSJ851996 LCF851994:LCF851996 LMB851994:LMB851996 LVX851994:LVX851996 MFT851994:MFT851996 JOV655386:JOV655388 JYR655386:JYR655388 KIN655386:KIN655388 KSJ655386:KSJ655388 LCF655386:LCF655388 LMB655386:LMB655388 LVX655386:LVX655388 MFT655386:MFT655388 MPP655386:MPP655388 MZL655386:MZL655388 NJH655386:NJH655388 NTD655386:NTD655388 OCZ655386:OCZ655388 OMV655386:OMV655388 OWR655386:OWR655388 PGN655386:PGN655388 PQJ655386:PQJ655388 QAF655386:QAF655388 QKB655386:QKB655388 QTX655386:QTX655388 RDT655386:RDT655388 RNP655386:RNP655388 RXL655386:RXL655388 SHH655386:SHH655388 SRD655386:SRD655388 TAZ655386:TAZ655388 TKV655386:TKV655388 TUR655386:TUR655388 UEN655386:UEN655388 UOJ655386:UOJ655388 UYF655386:UYF655388 VIB655386:VIB655388 VRX655386:VRX655388 WBT655386:WBT655388 WLP655386:WLP655388 WVL655386:WVL655388 UEN458778:UEN458780 UOJ458778:UOJ458780 UYF458778:UYF458780 VIB458778:VIB458780 VRX458778:VRX458780 WBT458778:WBT458780 WLP458778:WLP458780 WVL458778:WVL458780 D524314:D524316 IZ524314:IZ524316 SV524314:SV524316 ACR524314:ACR524316 AMN524314:AMN524316 AWJ524314:AWJ524316 BGF524314:BGF524316 BQB524314:BQB524316 BZX524314:BZX524316 CJT524314:CJT524316 CTP524314:CTP524316 DDL524314:DDL524316 DNH524314:DNH524316 DXD524314:DXD524316 EGZ524314:EGZ524316 EQV524314:EQV524316 FAR524314:FAR524316 FKN524314:FKN524316 FUJ524314:FUJ524316 GEF524314:GEF524316 GOB524314:GOB524316 GXX524314:GXX524316 HHT524314:HHT524316 HRP524314:HRP524316 LCF720922:LCF720924 LMB720922:LMB720924 LVX720922:LVX720924 MFT720922:MFT720924 MPP720922:MPP720924 MZL720922:MZL720924 NJH720922:NJH720924 NTD720922:NTD720924 OCZ720922:OCZ720924 OMV720922:OMV720924 OWR720922:OWR720924 PGN720922:PGN720924 PQJ720922:PQJ720924 QAF720922:QAF720924 QKB720922:QKB720924 QTX720922:QTX720924 RDT720922:RDT720924 RNP720922:RNP720924 RXL720922:RXL720924 SHH720922:SHH720924 SRD720922:SRD720924 TAZ720922:TAZ720924 TKV720922:TKV720924 TUR720922:TUR720924 UEN720922:UEN720924 UOJ720922:UOJ720924 UYF720922:UYF720924 VIB720922:VIB720924 VRX720922:VRX720924 WBT720922:WBT720924 WLP720922:WLP720924 WVL720922:WVL720924 UEN524314:UEN524316 UOJ524314:UOJ524316 UYF524314:UYF524316 VIB524314:VIB524316 VRX524314:VRX524316 WBT524314:WBT524316 WLP524314:WLP524316 WVL524314:WVL524316 D589850:D589852 IZ589850:IZ589852 SV589850:SV589852 ACR589850:ACR589852 AMN589850:AMN589852 AWJ589850:AWJ589852 BGF589850:BGF589852 BQB589850:BQB589852 BZX589850:BZX589852 CJT589850:CJT589852 CTP589850:CTP589852 DDL589850:DDL589852 DNH589850:DNH589852 DXD589850:DXD589852 EGZ589850:EGZ589852 EQV589850:EQV589852 FAR589850:FAR589852 FKN589850:FKN589852 FUJ589850:FUJ589852 GEF589850:GEF589852 GOB589850:GOB589852 GXX589850:GXX589852 HHT589850:HHT589852 HRP589850:HRP589852 IBL589850:IBL589852 ILH589850:ILH589852 IVD589850:IVD589852 JEZ589850:JEZ589852 GOB393242:GOB393244 GXX393242:GXX393244 HHT393242:HHT393244 HRP393242:HRP393244 IBL393242:IBL393244 ILH393242:ILH393244 IVD393242:IVD393244 JEZ393242:JEZ393244 JOV393242:JOV393244 JYR393242:JYR393244 KIN393242:KIN393244 KSJ393242:KSJ393244 LCF393242:LCF393244 LMB393242:LMB393244 LVX393242:LVX393244 MFT393242:MFT393244 MPP393242:MPP393244 MZL393242:MZL393244 NJH393242:NJH393244 NTD393242:NTD393244 OCZ393242:OCZ393244 OMV393242:OMV393244 OWR393242:OWR393244 PGN393242:PGN393244 PQJ393242:PQJ393244 QAF393242:QAF393244 QKB393242:QKB393244 QTX393242:QTX393244 RDT393242:RDT393244 RNP393242:RNP393244 RXL393242:RXL393244 SHH393242:SHH393244 VRX589850:VRX589852 WBT589850:WBT589852 WLP589850:WLP589852 WVL589850:WVL589852 D655386:D655388 IZ655386:IZ655388 SV655386:SV655388 ACR655386:ACR655388 AMN655386:AMN655388 AWJ655386:AWJ655388 BGF655386:BGF655388 BQB655386:BQB655388 BZX655386:BZX655388 CJT655386:CJT655388 CTP655386:CTP655388 DDL655386:DDL655388 DNH655386:DNH655388 DXD655386:DXD655388 EGZ655386:EGZ655388 EQV655386:EQV655388 FAR655386:FAR655388 FKN655386:FKN655388 FUJ655386:FUJ655388 GEF655386:GEF655388 GOB655386:GOB655388 GXX655386:GXX655388 HHT655386:HHT655388 HRP655386:HRP655388 IBL655386:IBL655388 ILH655386:ILH655388 IVD655386:IVD655388 JEZ655386:JEZ655388 GOB458778:GOB458780 GXX458778:GXX458780 HHT458778:HHT458780 HRP458778:HRP458780 IBL458778:IBL458780 ILH458778:ILH458780 IVD458778:IVD458780 JEZ458778:JEZ458780 JOV458778:JOV458780 JYR458778:JYR458780 KIN458778:KIN458780 KSJ458778:KSJ458780 LCF458778:LCF458780 LMB458778:LMB458780 LVX458778:LVX458780 MFT458778:MFT458780 MPP458778:MPP458780 MZL458778:MZL458780 NJH458778:NJH458780 NTD458778:NTD458780 OCZ458778:OCZ458780 OMV458778:OMV458780 OWR458778:OWR458780 PGN458778:PGN458780 PQJ458778:PQJ458780 QAF458778:QAF458780 QKB458778:QKB458780 QTX458778:QTX458780 RDT458778:RDT458780 RNP458778:RNP458780 RXL458778:RXL458780 SHH458778:SHH458780 SRD458778:SRD458780 TAZ458778:TAZ458780 TKV458778:TKV458780 TUR458778:TUR458780 RDT262170:RDT262172 RNP262170:RNP262172 RXL262170:RXL262172 SHH262170:SHH262172 SRD262170:SRD262172 TAZ262170:TAZ262172 TKV262170:TKV262172 TUR262170:TUR262172 UEN262170:UEN262172 UOJ262170:UOJ262172 UYF262170:UYF262172 VIB262170:VIB262172 VRX262170:VRX262172 WBT262170:WBT262172 WLP262170:WLP262172 WVL262170:WVL262172 D327706:D327708 IZ327706:IZ327708 SV327706:SV327708 ACR327706:ACR327708 AMN327706:AMN327708 AWJ327706:AWJ327708 BGF327706:BGF327708 BQB327706:BQB327708 BZX327706:BZX327708 CJT327706:CJT327708 CTP327706:CTP327708 DDL327706:DDL327708 DNH327706:DNH327708 DXD327706:DXD327708 EGZ327706:EGZ327708 EQV327706:EQV327708 IBL524314:IBL524316 ILH524314:ILH524316 IVD524314:IVD524316 JEZ524314:JEZ524316 JOV524314:JOV524316 JYR524314:JYR524316 KIN524314:KIN524316 KSJ524314:KSJ524316 LCF524314:LCF524316 LMB524314:LMB524316 LVX524314:LVX524316 MFT524314:MFT524316 MPP524314:MPP524316 MZL524314:MZL524316 NJH524314:NJH524316 NTD524314:NTD524316 OCZ524314:OCZ524316 OMV524314:OMV524316 OWR524314:OWR524316 PGN524314:PGN524316 PQJ524314:PQJ524316 QAF524314:QAF524316 QKB524314:QKB524316 QTX524314:QTX524316 RDT524314:RDT524316 RNP524314:RNP524316 RXL524314:RXL524316 SHH524314:SHH524316 SRD524314:SRD524316 TAZ524314:TAZ524316 TKV524314:TKV524316 TUR524314:TUR524316 RDT327706:RDT327708 RNP327706:RNP327708 RXL327706:RXL327708 SHH327706:SHH327708 SRD327706:SRD327708 TAZ327706:TAZ327708 TKV327706:TKV327708 TUR327706:TUR327708 UEN327706:UEN327708 UOJ327706:UOJ327708 UYF327706:UYF327708 VIB327706:VIB327708 VRX327706:VRX327708 WBT327706:WBT327708 WLP327706:WLP327708 WVL327706:WVL327708 D393242:D393244 IZ393242:IZ393244 SV393242:SV393244 ACR393242:ACR393244 AMN393242:AMN393244 AWJ393242:AWJ393244 BGF393242:BGF393244 BQB393242:BQB393244 BZX393242:BZX393244 CJT393242:CJT393244 CTP393242:CTP393244 DDL393242:DDL393244 DNH393242:DNH393244 DXD393242:DXD393244 EGZ393242:EGZ393244 EQV393242:EQV393244 FAR393242:FAR393244 FKN393242:FKN393244 FUJ393242:FUJ393244 GEF393242:GEF393244 DNH196634:DNH196636 DXD196634:DXD196636 EGZ196634:EGZ196636 EQV196634:EQV196636 FAR196634:FAR196636 FKN196634:FKN196636 FUJ196634:FUJ196636 GEF196634:GEF196636 GOB196634:GOB196636 GXX196634:GXX196636 HHT196634:HHT196636 HRP196634:HRP196636 IBL196634:IBL196636 ILH196634:ILH196636 IVD196634:IVD196636 JEZ196634:JEZ196636 JOV196634:JOV196636 JYR196634:JYR196636 KIN196634:KIN196636 KSJ196634:KSJ196636 LCF196634:LCF196636 LMB196634:LMB196636 LVX196634:LVX196636 MFT196634:MFT196636 MPP196634:MPP196636 MZL196634:MZL196636 NJH196634:NJH196636 NTD196634:NTD196636 OCZ196634:OCZ196636 OMV196634:OMV196636 OWR196634:OWR196636 PGN196634:PGN196636 SRD393242:SRD393244 TAZ393242:TAZ393244 TKV393242:TKV393244 TUR393242:TUR393244 UEN393242:UEN393244 UOJ393242:UOJ393244 UYF393242:UYF393244 VIB393242:VIB393244 VRX393242:VRX393244 WBT393242:WBT393244 WLP393242:WLP393244 WVL393242:WVL393244 D458778:D458780 IZ458778:IZ458780 SV458778:SV458780 ACR458778:ACR458780 AMN458778:AMN458780 AWJ458778:AWJ458780 BGF458778:BGF458780 BQB458778:BQB458780 BZX458778:BZX458780 CJT458778:CJT458780 CTP458778:CTP458780 DDL458778:DDL458780 DNH458778:DNH458780 DXD458778:DXD458780 EGZ458778:EGZ458780 EQV458778:EQV458780 FAR458778:FAR458780 FKN458778:FKN458780 FUJ458778:FUJ458780 GEF458778:GEF458780 DNH262170:DNH262172 DXD262170:DXD262172 EGZ262170:EGZ262172 EQV262170:EQV262172 FAR262170:FAR262172 FKN262170:FKN262172 FUJ262170:FUJ262172 GEF262170:GEF262172 GOB262170:GOB262172 GXX262170:GXX262172 HHT262170:HHT262172 HRP262170:HRP262172 IBL262170:IBL262172 ILH262170:ILH262172 IVD262170:IVD262172 JEZ262170:JEZ262172 JOV262170:JOV262172 JYR262170:JYR262172 KIN262170:KIN262172 KSJ262170:KSJ262172 LCF262170:LCF262172 LMB262170:LMB262172 LVX262170:LVX262172 MFT262170:MFT262172 MPP262170:MPP262172 MZL262170:MZL262172 NJH262170:NJH262172 NTD262170:NTD262172 OCZ262170:OCZ262172 OMV262170:OMV262172 OWR262170:OWR262172 PGN262170:PGN262172 PQJ262170:PQJ262172 QAF262170:QAF262172 QKB262170:QKB262172 QTX262170:QTX262172 OCZ65562:OCZ65564 OMV65562:OMV65564 OWR65562:OWR65564 PGN65562:PGN65564 PQJ65562:PQJ65564 QAF65562:QAF65564 QKB65562:QKB65564 QTX65562:QTX65564 RDT65562:RDT65564 RNP65562:RNP65564 RXL65562:RXL65564 SHH65562:SHH65564 SRD65562:SRD65564 TAZ65562:TAZ65564 TKV65562:TKV65564 TUR65562:TUR65564 UEN65562:UEN65564 UOJ65562:UOJ65564 UYF65562:UYF65564 VIB65562:VIB65564 VRX65562:VRX65564 WBT65562:WBT65564 WLP65562:WLP65564 WVL65562:WVL65564 D131098:D131100 IZ131098:IZ131100 SV131098:SV131100 ACR131098:ACR131100 AMN131098:AMN131100 AWJ131098:AWJ131100 BGF131098:BGF131100 BQB131098:BQB131100 FAR327706:FAR327708 FKN327706:FKN327708 FUJ327706:FUJ327708 GEF327706:GEF327708 GOB327706:GOB327708 GXX327706:GXX327708 HHT327706:HHT327708 HRP327706:HRP327708 IBL327706:IBL327708 ILH327706:ILH327708 IVD327706:IVD327708 JEZ327706:JEZ327708 JOV327706:JOV327708 JYR327706:JYR327708 KIN327706:KIN327708 KSJ327706:KSJ327708 LCF327706:LCF327708 LMB327706:LMB327708 LVX327706:LVX327708 MFT327706:MFT327708 MPP327706:MPP327708 MZL327706:MZL327708 NJH327706:NJH327708 NTD327706:NTD327708 OCZ327706:OCZ327708 OMV327706:OMV327708 OWR327706:OWR327708 PGN327706:PGN327708 PQJ327706:PQJ327708 QAF327706:QAF327708 QKB327706:QKB327708 QTX327706:QTX327708 OCZ131098:OCZ131100 OMV131098:OMV131100 OWR131098:OWR131100 PGN131098:PGN131100 PQJ131098:PQJ131100 QAF131098:QAF131100 QKB131098:QKB131100 QTX131098:QTX131100 RDT131098:RDT131100 RNP131098:RNP131100 RXL131098:RXL131100 SHH131098:SHH131100 SRD131098:SRD131100 TAZ131098:TAZ131100 TKV131098:TKV131100 TUR131098:TUR131100 UEN131098:UEN131100 UOJ131098:UOJ131100 UYF131098:UYF131100 VIB131098:VIB131100 VRX131098:VRX131100 WBT131098:WBT131100 WLP131098:WLP131100 WVL131098:WVL131100 D196634:D196636 IZ196634:IZ196636 SV196634:SV196636 ACR196634:ACR196636 AMN196634:AMN196636 AWJ196634:AWJ196636 BGF196634:BGF196636 BQB196634:BQB196636 BZX196634:BZX196636 CJT196634:CJT196636 CTP196634:CTP196636 DDL196634:DDL196636 AMN26:AMN28 AWJ26:AWJ28 BGF26:BGF28 BQB26:BQB28 BZX26:BZX28 CJT26:CJT28 CTP26:CTP28 DDL26:DDL28 DNH26:DNH28 DXD26:DXD28 EGZ26:EGZ28 EQV26:EQV28 FAR26:FAR28 FKN26:FKN28 FUJ26:FUJ28 GEF26:GEF28 GOB26:GOB28 GXX26:GXX28 HHT26:HHT28 HRP26:HRP28 IBL26:IBL28 ILH26:ILH28 IVD26:IVD28 JEZ26:JEZ28 JOV26:JOV28 JYR26:JYR28 KIN26:KIN28 KSJ26:KSJ28 LCF26:LCF28 LMB26:LMB28 LVX26:LVX28 MFT26:MFT28 PQJ196634:PQJ196636 QAF196634:QAF196636 QKB196634:QKB196636 QTX196634:QTX196636 RDT196634:RDT196636 RNP196634:RNP196636 RXL196634:RXL196636 SHH196634:SHH196636 SRD196634:SRD196636 TAZ196634:TAZ196636 TKV196634:TKV196636 TUR196634:TUR196636 UEN196634:UEN196636 UOJ196634:UOJ196636 UYF196634:UYF196636 VIB196634:VIB196636 VRX196634:VRX196636 WBT196634:WBT196636 WLP196634:WLP196636 WVL196634:WVL196636 D262170:D262172 IZ262170:IZ262172 SV262170:SV262172 ACR262170:ACR262172 AMN262170:AMN262172 AWJ262170:AWJ262172 BGF262170:BGF262172 BQB262170:BQB262172 BZX262170:BZX262172 CJT262170:CJT262172 CTP262170:CTP262172 DDL262170:DDL262172 AMN65562:AMN65564 AWJ65562:AWJ65564 BGF65562:BGF65564 BQB65562:BQB65564 BZX65562:BZX65564 CJT65562:CJT65564 CTP65562:CTP65564 DDL65562:DDL65564 DNH65562:DNH65564 DXD65562:DXD65564 EGZ65562:EGZ65564 EQV65562:EQV65564 FAR65562:FAR65564 FKN65562:FKN65564 FUJ65562:FUJ65564 GEF65562:GEF65564 GOB65562:GOB65564 GXX65562:GXX65564 HHT65562:HHT65564 HRP65562:HRP65564 IBL65562:IBL65564 ILH65562:ILH65564 IVD65562:IVD65564 JEZ65562:JEZ65564 JOV65562:JOV65564 JYR65562:JYR65564 KIN65562:KIN65564 KSJ65562:KSJ65564 LCF65562:LCF65564 LMB65562:LMB65564 LVX65562:LVX65564 MFT65562:MFT65564 MPP65562:MPP65564 MZL65562:MZL65564 NJH65562:NJH65564 NTD65562:NTD65564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BZX131098:BZX131100 CJT131098:CJT131100 CTP131098:CTP131100 DDL131098:DDL131100 DNH131098:DNH131100 DXD131098:DXD131100 EGZ131098:EGZ131100 EQV131098:EQV131100 FAR131098:FAR131100 FKN131098:FKN131100 FUJ131098:FUJ131100 GEF131098:GEF131100 GOB131098:GOB131100 GXX131098:GXX131100 HHT131098:HHT131100 HRP131098:HRP131100 IBL131098:IBL131100 ILH131098:ILH131100 IVD131098:IVD131100 JEZ131098:JEZ131100 JOV131098:JOV131100 JYR131098:JYR131100 KIN131098:KIN131100 KSJ131098:KSJ131100 LCF131098:LCF131100 LMB131098:LMB131100 LVX131098:LVX131100 MFT131098:MFT131100 MPP131098:MPP131100 MZL131098:MZL131100 NJH131098:NJH131100 NTD131098:NTD131100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D26:D28 IZ26:IZ28 SV26:SV28 ACR26:ACR28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MPP26:MPP28 MZL26:MZL28 NJH26:NJH28 NTD26:NTD28 OCZ26:OCZ28 OMV26:OMV28 OWR26:OWR28 PGN26:PGN28 PQJ26:PQJ28 QAF26:QAF28 QKB26:QKB28 QTX26:QTX28 RDT26:RDT28 RNP26:RNP28 RXL26:RXL28 SHH26:SHH28 SRD26:SRD28 TAZ26:TAZ28 TKV26:TKV28 TUR26:TUR28 UEN26:UEN28 UOJ26:UOJ28 UYF26:UYF28 VIB26:VIB28 VRX26:VRX28 WBT26:WBT28 WLP26:WLP28 WVL26:WVL28 D65562:D65564 IZ65562:IZ65564 SV65562:SV65564 ACR65562:ACR65564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UET917536 UOP917536 UYL917536 VIH917536 VSD917536 WBZ917536 WLV917536 WVR917536 J983072 JF983072 TB983072 ACX983072 AMT983072 AWP983072 BGL983072 BQH983072 CAD983072 CJZ983072 CTV983072 DDR983072 DNN983072 DXJ983072 EHF983072 ERB983072 FAX983072 FKT983072 FUP983072 GEL983072 GOH983072 GYD983072 HHZ983072 HRV983072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UET983072 UOP983072 UYL983072 VIH983072 VSD983072 WBZ983072 WLV983072 WVR983072 E26:E27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GOH852000 GYD852000 HHZ852000 HRV852000 IBR852000 ILN852000 IVJ852000 JFF852000 JPB852000 JYX852000 KIT852000 KSP852000 LCL852000 LMH852000 LWD852000 MFZ852000 MPV852000 MZR852000 NJN852000 NTJ852000 ODF852000 ONB852000 OWX852000 PGT852000 PQP852000 QAL852000 QKH852000 QUD852000 RDZ852000 RNV852000 RXR852000 SHN852000 VRY26:VRY27 WBU26:WBU27 WLQ26:WLQ27 WVM26:WVM27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GOH917536 GYD917536 HHZ917536 HRV917536 IBR917536 ILN917536 IVJ917536 JFF917536 JPB917536 JYX917536 KIT917536 KSP917536 LCL917536 LMH917536 LWD917536 MFZ917536 MPV917536 MZR917536 NJN917536 NTJ917536 ODF917536 ONB917536 OWX917536 PGT917536 PQP917536 QAL917536 QKH917536 QUD917536 RDZ917536 RNV917536 RXR917536 SHN917536 SRJ917536 TBF917536 TLB917536 TUX917536 RDZ720928 RNV720928 RXR720928 SHN720928 SRJ720928 TBF720928 TLB720928 TUX720928 UET720928 UOP720928 UYL720928 VIH720928 VSD720928 WBZ720928 WLV720928 WVR720928 J786464 JF786464 TB786464 ACX786464 AMT786464 AWP786464 BGL786464 BQH786464 CAD786464 CJZ786464 CTV786464 DDR786464 DNN786464 DXJ786464 EHF786464 ERB786464 IBR983072 ILN983072 IVJ983072 JFF983072 JPB983072 JYX983072 KIT983072 KSP983072 LCL983072 LMH983072 LWD983072 MFZ983072 MPV983072 MZR983072 NJN983072 NTJ983072 ODF983072 ONB983072 OWX983072 PGT983072 PQP983072 QAL983072 QKH983072 QUD983072 RDZ983072 RNV983072 RXR983072 SHN983072 SRJ983072 TBF983072 TLB983072 TUX983072 RDZ786464 RNV786464 RXR786464 SHN786464 SRJ786464 TBF786464 TLB786464 TUX786464 UET786464 UOP786464 UYL786464 VIH786464 VSD786464 WBZ786464 WLV786464 WVR786464 J852000 JF852000 TB852000 ACX852000 AMT852000 AWP852000 BGL852000 BQH852000 CAD852000 CJZ852000 CTV852000 DDR852000 DNN852000 DXJ852000 EHF852000 ERB852000 FAX852000 FKT852000 FUP852000 GEL852000 DNN655392 DXJ655392 EHF655392 ERB655392 FAX655392 FKT655392 FUP655392 GEL655392 GOH655392 GYD655392 HHZ655392 HRV655392 IBR655392 ILN655392 IVJ655392 JFF655392 JPB655392 JYX655392 KIT655392 KSP655392 LCL655392 LMH655392 LWD655392 MFZ655392 MPV655392 MZR655392 NJN655392 NTJ655392 ODF655392 ONB655392 OWX655392 PGT655392 SRJ852000 TBF852000 TLB852000 TUX852000 UET852000 UOP852000 UYL852000 VIH852000 VSD852000 WBZ852000 WLV852000 WVR852000 J917536 JF917536 TB917536 ACX917536 AMT917536 AWP917536 BGL917536 BQH917536 CAD917536 CJZ917536 CTV917536 DDR917536 DNN917536 DXJ917536 EHF917536 ERB917536 FAX917536 FKT917536 FUP917536 GEL917536 DNN720928 DXJ720928 EHF720928 ERB720928 FAX720928 FKT720928 FUP720928 GEL720928 GOH720928 GYD720928 HHZ720928 HRV720928 IBR720928 ILN720928 IVJ720928 JFF720928 JPB720928 JYX720928 KIT720928 KSP720928 LCL720928 LMH720928 LWD720928 MFZ720928 MPV720928 MZR720928 NJN720928 NTJ720928 ODF720928 ONB720928 OWX720928 PGT720928 PQP720928 QAL720928 QKH720928 QUD720928 ODF524320 ONB524320 OWX524320 PGT524320 PQP524320 QAL524320 QKH524320 QUD524320 RDZ524320 RNV524320 RXR524320 SHN524320 SRJ524320 TBF524320 TLB524320 TUX524320 UET524320 UOP524320 UYL524320 VIH524320 VSD524320 WBZ524320 WLV524320 WVR524320 J589856 JF589856 TB589856 ACX589856 AMT589856 AWP589856 BGL589856 BQH589856 FAX786464 FKT786464 FUP786464 GEL786464 GOH786464 GYD786464 HHZ786464 HRV786464 IBR786464 ILN786464 IVJ786464 JFF786464 JPB786464 JYX786464 KIT786464 KSP786464 LCL786464 LMH786464 LWD786464 MFZ786464 MPV786464 MZR786464 NJN786464 NTJ786464 ODF786464 ONB786464 OWX786464 PGT786464 PQP786464 QAL786464 QKH786464 QUD786464 ODF589856 ONB589856 OWX589856 PGT589856 PQP589856 QAL589856 QKH589856 QUD589856 RDZ589856 RNV589856 RXR589856 SHN589856 SRJ589856 TBF589856 TLB589856 TUX589856 UET589856 UOP589856 UYL589856 VIH589856 VSD589856 WBZ589856 WLV589856 WVR589856 J655392 JF655392 TB655392 ACX655392 AMT655392 AWP655392 BGL655392 BQH655392 CAD655392 CJZ655392 CTV655392 DDR655392 AMT458784 AWP458784 BGL458784 BQH458784 CAD458784 CJZ458784 CTV458784 DDR458784 DNN458784 DXJ458784 EHF458784 ERB458784 FAX458784 FKT458784 FUP458784 GEL458784 GOH458784 GYD458784 HHZ458784 HRV458784 IBR458784 ILN458784 IVJ458784 JFF458784 JPB458784 JYX458784 KIT458784 KSP458784 LCL458784 LMH458784 LWD458784 MFZ458784 PQP655392 QAL655392 QKH655392 QUD655392 RDZ655392 RNV655392 RXR655392 SHN655392 SRJ655392 TBF655392 TLB655392 TUX655392 UET655392 UOP655392 UYL655392 VIH655392 VSD655392 WBZ655392 WLV655392 WVR655392 J720928 JF720928 TB720928 ACX720928 AMT720928 AWP720928 BGL720928 BQH720928 CAD720928 CJZ720928 CTV720928 DDR720928 AMT524320 AWP524320 BGL524320 BQH524320 CAD524320 CJZ524320 CTV524320 DDR524320 DNN524320 DXJ524320 EHF524320 ERB524320 FAX524320 FKT524320 FUP524320 GEL524320 GOH524320 GYD524320 HHZ524320 HRV524320 IBR524320 ILN524320 IVJ524320 JFF524320 JPB524320 JYX524320 KIT524320 KSP524320 LCL524320 LMH524320 LWD524320 MFZ524320 MPV524320 MZR524320 NJN524320 NTJ524320 LCL327712 LMH327712 LWD327712 MFZ327712 MPV327712 MZR327712 NJN327712 NTJ327712 ODF327712 ONB327712 OWX327712 PGT327712 PQP327712 QAL327712 QKH327712 QUD327712 RDZ327712 RNV327712 RXR327712 SHN327712 SRJ327712 TBF327712 TLB327712 TUX327712 UET327712 UOP327712 UYL327712 VIH327712 VSD327712 WBZ327712 WLV327712 WVR327712 CAD589856 CJZ589856 CTV589856 DDR589856 DNN589856 DXJ589856 EHF589856 ERB589856 FAX589856 FKT589856 FUP589856 GEL589856 GOH589856 GYD589856 HHZ589856 HRV589856 IBR589856 ILN589856 IVJ589856 JFF589856 JPB589856 JYX589856 KIT589856 KSP589856 LCL589856 LMH589856 LWD589856 MFZ589856 MPV589856 MZR589856 NJN589856 NTJ589856 LCL393248 LMH393248 LWD393248 MFZ393248 MPV393248 MZR393248 NJN393248 NTJ393248 ODF393248 ONB393248 OWX393248 PGT393248 PQP393248 QAL393248 QKH393248 QUD393248 RDZ393248 RNV393248 RXR393248 SHN393248 SRJ393248 TBF393248 TLB393248 TUX393248 UET393248 UOP393248 UYL393248 VIH393248 VSD393248 WBZ393248 WLV393248 WVR393248 J458784 JF458784 TB458784 ACX458784 VSD196640 WBZ196640 WLV196640 WVR196640 J262176 JF262176 TB262176 ACX262176 AMT262176 AWP262176 BGL262176 BQH262176 CAD262176 CJZ262176 CTV262176 DDR262176 DNN262176 DXJ262176 EHF262176 ERB262176 FAX262176 FKT262176 FUP262176 GEL262176 GOH262176 GYD262176 HHZ262176 HRV262176 IBR262176 ILN262176 IVJ262176 JFF262176 MPV458784 MZR458784 NJN458784 NTJ458784 ODF458784 ONB458784 OWX458784 PGT458784 PQP458784 QAL458784 QKH458784 QUD458784 RDZ458784 RNV458784 RXR458784 SHN458784 SRJ458784 TBF458784 TLB458784 TUX458784 UET458784 UOP458784 UYL458784 VIH458784 VSD458784 WBZ458784 WLV458784 WVR458784 J524320 JF524320 TB524320 ACX524320 VSD262176 WBZ262176 WLV262176 WVR262176 J327712 JF327712 TB327712 ACX327712 AMT327712 AWP327712 BGL327712 BQH327712 CAD327712 CJZ327712 CTV327712 DDR327712 DNN327712 DXJ327712 EHF327712 ERB327712 FAX327712 FKT327712 FUP327712 GEL327712 GOH327712 GYD327712 HHZ327712 HRV327712 IBR327712 ILN327712 IVJ327712 JFF327712 JPB327712 JYX327712 KIT327712 KSP327712 IBR131104 ILN131104 IVJ131104 JFF131104 JPB131104 JYX131104 KIT131104 KSP131104 LCL131104 LMH131104 LWD131104 MFZ131104 MPV131104 MZR131104 NJN131104 NTJ131104 ODF131104 ONB131104 OWX131104 PGT131104 PQP131104 QAL131104 QKH131104 QUD131104 RDZ131104 RNV131104 RXR131104 SHN131104 SRJ131104 TBF131104 TLB131104 TUX131104 J393248 JF393248 TB393248 ACX393248 AMT393248 AWP393248 BGL393248 BQH393248 CAD393248 CJZ393248 CTV393248 DDR393248 DNN393248 DXJ393248 EHF393248 ERB393248 FAX393248 FKT393248 FUP393248 GEL393248 GOH393248 GYD393248 HHZ393248 HRV393248 IBR393248 ILN393248 IVJ393248 JFF393248 JPB393248 JYX393248 KIT393248 KSP393248 IBR196640 ILN196640 IVJ196640 JFF196640 JPB196640 JYX196640 KIT196640 KSP196640 LCL196640 LMH196640 LWD196640 MFZ196640 MPV196640 MZR196640 NJN196640 NTJ196640 ODF196640 ONB196640 OWX196640 PGT196640 PQP196640 QAL196640 QKH196640 QUD196640 RDZ196640 RNV196640 RXR196640 SHN196640 SRJ196640 TBF196640 TLB196640 TUX196640 UET196640 UOP196640 UYL196640 VIH196640 SRJ32 TBF32 TLB32 TUX32 UET32 UOP32 UYL32 VIH32 VSD32 WBZ32 WLV32 WVR32 J65568 JF65568 TB65568 ACX65568 AMT65568 AWP65568 BGL65568 BQH65568 CAD65568 CJZ65568 CTV65568 DDR65568 DNN65568 DXJ65568 EHF65568 ERB65568 FAX65568 FKT65568 FUP65568 GEL65568 JPB262176 JYX262176 KIT262176 KSP262176 LCL262176 LMH262176 LWD262176 MFZ262176 MPV262176 MZR262176 NJN262176 NTJ262176 ODF262176 ONB262176 OWX262176 PGT262176 PQP262176 QAL262176 QKH262176 QUD262176 RDZ262176 RNV262176 RXR262176 SHN262176 SRJ262176 TBF262176 TLB262176 TUX262176 UET262176 UOP262176 UYL262176 VIH262176 SRJ65568 TBF65568 TLB65568 TUX65568 UET65568 UOP65568 UYL65568 VIH65568 VSD65568 WBZ65568 WLV65568 WVR65568 J131104 JF131104 TB131104 ACX131104 AMT131104 AWP131104 BGL131104 BQH131104 CAD131104 CJZ131104 CTV131104 DDR131104 DNN131104 DXJ131104 EHF131104 ERB131104 FAX131104 FKT131104 FUP131104 GEL131104 GOH131104 GYD131104 HHZ131104 HRV131104 FBC983065:FBC983067 FKY983065:FKY983067 FUU983065:FUU983067 GEQ983065:GEQ983067 GOM983065:GOM983067 GYI983065:GYI983067 HIE983065:HIE983067 HSA983065:HSA983067 IBW983065:IBW983067 ILS983065:ILS983067 IVO983065:IVO983067 JFK983065:JFK983067 JPG983065:JPG983067 JZC983065:JZC983067 KIY983065:KIY983067 KSU983065:KSU983067 LCQ983065:LCQ983067 LMM983065:LMM983067 LWI983065:LWI983067 MGE983065:MGE983067 MQA983065:MQA983067 MZW983065:MZW983067 NJS983065:NJS983067 NTO983065:NTO983067 ODK983065:ODK983067 ONG983065:ONG983067 OXC983065:OXC983067 PGY983065:PGY983067 PQU983065:PQU983067 QAQ983065:QAQ983067 QKM983065:QKM983067 QUI983065:QUI983067 UET131104 UOP131104 UYL131104 VIH131104 VSD131104 WBZ131104 WLV131104 WVR131104 J196640 JF196640 TB196640 ACX196640 AMT196640 AWP196640 BGL196640 BQH196640 CAD196640 CJZ196640 CTV196640 DDR196640 DNN196640 DXJ196640 EHF196640 ERB196640 FAX196640 FKT196640 FUP196640 GEL196640 GOH196640 GYD196640 HHZ196640 HRV196640 FAX32 FKT32 FUP32 GEL32 GOH32 GYD32 HHZ32 HRV32 IBR32 ILN32 IVJ32 JFF32 JPB32 JYX32 KIT32 KSP32 LCL32 LMH32 LWD32 MFZ32 MPV32 MZR32 NJN32 NTJ32 ODF32 ONB32 OWX32 PGT32 PQP32 QAL32 QKH32 QUD32 RDZ32 RNV32 RXR32 SHN32 PQU851993:PQU851995 QAQ851993:QAQ851995 QKM851993:QKM851995 QUI851993:QUI851995 REE851993:REE851995 ROA851993:ROA851995 RXW851993:RXW851995 SHS851993:SHS851995 SRO851993:SRO851995 TBK851993:TBK851995 TLG851993:TLG851995 TVC851993:TVC851995 UEY851993:UEY851995 UOU851993:UOU851995 UYQ851993:UYQ851995 VIM851993:VIM851995 VSI851993:VSI851995 WCE851993:WCE851995 WMA851993:WMA851995 WVW851993:WVW851995 O917529:O917531 JK917529:JK917531 TG917529:TG917531 ADC917529:ADC917531 AMY917529:AMY917531 AWU917529:AWU917531 BGQ917529:BGQ917531 BQM917529:BQM917531 CAI917529:CAI917531 CKE917529:CKE917531 CUA917529:CUA917531 DDW917529:DDW917531 GOH65568 GYD65568 HHZ65568 HRV65568 IBR65568 ILN65568 IVJ65568 JFF65568 JPB65568 JYX65568 KIT65568 KSP65568 LCL65568 LMH65568 LWD65568 MFZ65568 MPV65568 MZR65568 NJN65568 NTJ65568 ODF65568 ONB65568 OWX65568 PGT65568 PQP65568 QAL65568 QKH65568 QUD65568 RDZ65568 RNV65568 RXR65568 SHN65568 PQU917529:PQU917531 QAQ917529:QAQ917531 QKM917529:QKM917531 QUI917529:QUI917531 REE917529:REE917531 ROA917529:ROA917531 RXW917529:RXW917531 SHS917529:SHS917531 SRO917529:SRO917531 TBK917529:TBK917531 TLG917529:TLG917531 TVC917529:TVC917531 UEY917529:UEY917531 UOU917529:UOU917531 UYQ917529:UYQ917531 VIM917529:VIM917531 VSI917529:VSI917531 WCE917529:WCE917531 WMA917529:WMA917531 WVW917529:WVW917531 O983065:O983067 JK983065:JK983067 TG983065:TG983067 ADC983065:ADC983067 AMY983065:AMY983067 AWU983065:AWU983067 BGQ983065:BGQ983067 BQM983065:BQM983067 CAI983065:CAI983067 CKE983065:CKE983067 CUA983065:CUA983067 DDW983065:DDW983067 DNS983065:DNS983067 DXO983065:DXO983067 EHK983065:EHK983067 ERG983065:ERG983067 CAI786457:CAI786459 CKE786457:CKE786459 CUA786457:CUA786459 DDW786457:DDW786459 DNS786457:DNS786459 DXO786457:DXO786459 EHK786457:EHK786459 ERG786457:ERG786459 FBC786457:FBC786459 FKY786457:FKY786459 FUU786457:FUU786459 GEQ786457:GEQ786459 GOM786457:GOM786459 GYI786457:GYI786459 HIE786457:HIE786459 HSA786457:HSA786459 IBW786457:IBW786459 ILS786457:ILS786459 IVO786457:IVO786459 JFK786457:JFK786459 JPG786457:JPG786459 JZC786457:JZC786459 KIY786457:KIY786459 KSU786457:KSU786459 LCQ786457:LCQ786459 LMM786457:LMM786459 LWI786457:LWI786459 MGE786457:MGE786459 MQA786457:MQA786459 MZW786457:MZW786459 NJS786457:NJS786459 NTO786457:NTO786459 REE983065:REE983067 ROA983065:ROA983067 RXW983065:RXW983067 SHS983065:SHS983067 SRO983065:SRO983067 TBK983065:TBK983067 TLG983065:TLG983067 TVC983065:TVC983067 UEY983065:UEY983067 UOU983065:UOU983067 UYQ983065:UYQ983067 VIM983065:VIM983067 VSI983065:VSI983067 WCE983065:WCE983067 WMA983065:WMA983067 WVW983065:WVW983067 J32 JF32 TB32 ACX32 AMT32 AWP32 BGL32 BQH32 CAD32 CJZ32 CTV32 DDR32 DNN32 DXJ32 EHF32 ERB32 CAI851993:CAI851995 CKE851993:CKE851995 CUA851993:CUA851995 DDW851993:DDW851995 DNS851993:DNS851995 DXO851993:DXO851995 EHK851993:EHK851995 ERG851993:ERG851995 FBC851993:FBC851995 FKY851993:FKY851995 FUU851993:FUU851995 GEQ851993:GEQ851995 GOM851993:GOM851995 GYI851993:GYI851995 HIE851993:HIE851995 HSA851993:HSA851995 IBW851993:IBW851995 ILS851993:ILS851995 IVO851993:IVO851995 JFK851993:JFK851995 JPG851993:JPG851995 JZC851993:JZC851995 KIY851993:KIY851995 KSU851993:KSU851995 LCQ851993:LCQ851995 LMM851993:LMM851995 LWI851993:LWI851995 MGE851993:MGE851995 MQA851993:MQA851995 MZW851993:MZW851995 NJS851993:NJS851995 NTO851993:NTO851995 ODK851993:ODK851995 ONG851993:ONG851995 OXC851993:OXC851995 PGY851993:PGY851995 MQA655385:MQA655387 MZW655385:MZW655387 NJS655385:NJS655387 NTO655385:NTO655387 ODK655385:ODK655387 ONG655385:ONG655387 OXC655385:OXC655387 PGY655385:PGY655387 PQU655385:PQU655387 QAQ655385:QAQ655387 QKM655385:QKM655387 QUI655385:QUI655387 REE655385:REE655387 ROA655385:ROA655387 RXW655385:RXW655387 SHS655385:SHS655387 SRO655385:SRO655387 TBK655385:TBK655387 TLG655385:TLG655387 TVC655385:TVC655387 UEY655385:UEY655387 UOU655385:UOU655387 UYQ655385:UYQ655387 VIM655385:VIM655387 VSI655385:VSI655387 WCE655385:WCE655387 WMA655385:WMA655387 WVW655385:WVW655387 O720921:O720923 JK720921:JK720923 TG720921:TG720923 ADC720921:ADC720923 DNS917529:DNS917531 DXO917529:DXO917531 EHK917529:EHK917531 ERG917529:ERG917531 FBC917529:FBC917531 FKY917529:FKY917531 FUU917529:FUU917531 GEQ917529:GEQ917531 GOM917529:GOM917531 GYI917529:GYI917531 HIE917529:HIE917531 HSA917529:HSA917531 IBW917529:IBW917531 ILS917529:ILS917531 IVO917529:IVO917531 JFK917529:JFK917531 JPG917529:JPG917531 JZC917529:JZC917531 KIY917529:KIY917531 KSU917529:KSU917531 LCQ917529:LCQ917531 LMM917529:LMM917531 LWI917529:LWI917531 MGE917529:MGE917531 MQA917529:MQA917531 MZW917529:MZW917531 NJS917529:NJS917531 NTO917529:NTO917531 ODK917529:ODK917531 ONG917529:ONG917531 OXC917529:OXC917531 PGY917529:PGY917531 MQA720921:MQA720923 MZW720921:MZW720923 NJS720921:NJS720923 NTO720921:NTO720923 ODK720921:ODK720923 ONG720921:ONG720923 OXC720921:OXC720923 PGY720921:PGY720923 PQU720921:PQU720923 QAQ720921:QAQ720923 QKM720921:QKM720923 QUI720921:QUI720923 REE720921:REE720923 ROA720921:ROA720923 RXW720921:RXW720923 SHS720921:SHS720923 SRO720921:SRO720923 TBK720921:TBK720923 TLG720921:TLG720923 TVC720921:TVC720923 UEY720921:UEY720923 UOU720921:UOU720923 UYQ720921:UYQ720923 VIM720921:VIM720923 VSI720921:VSI720923 WCE720921:WCE720923 WMA720921:WMA720923 WVW720921:WVW720923 O786457:O786459 JK786457:JK786459 TG786457:TG786459 ADC786457:ADC786459 AMY786457:AMY786459 AWU786457:AWU786459 BGQ786457:BGQ786459 BQM786457:BQM786459 O589849:O589851 JK589849:JK589851 TG589849:TG589851 ADC589849:ADC589851 AMY589849:AMY589851 AWU589849:AWU589851 BGQ589849:BGQ589851 BQM589849:BQM589851 CAI589849:CAI589851 CKE589849:CKE589851 CUA589849:CUA589851 DDW589849:DDW589851 DNS589849:DNS589851 DXO589849:DXO589851 EHK589849:EHK589851 ERG589849:ERG589851 FBC589849:FBC589851 FKY589849:FKY589851 FUU589849:FUU589851 GEQ589849:GEQ589851 GOM589849:GOM589851 GYI589849:GYI589851 HIE589849:HIE589851 HSA589849:HSA589851 IBW589849:IBW589851 ILS589849:ILS589851 IVO589849:IVO589851 JFK589849:JFK589851 JPG589849:JPG589851 JZC589849:JZC589851 KIY589849:KIY589851 KSU589849:KSU589851 ODK786457:ODK786459 ONG786457:ONG786459 OXC786457:OXC786459 PGY786457:PGY786459 PQU786457:PQU786459 QAQ786457:QAQ786459 QKM786457:QKM786459 QUI786457:QUI786459 REE786457:REE786459 ROA786457:ROA786459 RXW786457:RXW786459 SHS786457:SHS786459 SRO786457:SRO786459 TBK786457:TBK786459 TLG786457:TLG786459 TVC786457:TVC786459 UEY786457:UEY786459 UOU786457:UOU786459 UYQ786457:UYQ786459 VIM786457:VIM786459 VSI786457:VSI786459 WCE786457:WCE786459 WMA786457:WMA786459 WVW786457:WVW786459 O851993:O851995 JK851993:JK851995 TG851993:TG851995 ADC851993:ADC851995 AMY851993:AMY851995 AWU851993:AWU851995 BGQ851993:BGQ851995 BQM851993:BQM851995 O655385:O655387 JK655385:JK655387 TG655385:TG655387 ADC655385:ADC655387 AMY655385:AMY655387 AWU655385:AWU655387 BGQ655385:BGQ655387 BQM655385:BQM655387 CAI655385:CAI655387 CKE655385:CKE655387 CUA655385:CUA655387 DDW655385:DDW655387 DNS655385:DNS655387 DXO655385:DXO655387 EHK655385:EHK655387 ERG655385:ERG655387 FBC655385:FBC655387 FKY655385:FKY655387 FUU655385:FUU655387 GEQ655385:GEQ655387 GOM655385:GOM655387 GYI655385:GYI655387 HIE655385:HIE655387 HSA655385:HSA655387 IBW655385:IBW655387 ILS655385:ILS655387 IVO655385:IVO655387 JFK655385:JFK655387 JPG655385:JPG655387 JZC655385:JZC655387 KIY655385:KIY655387 KSU655385:KSU655387 LCQ655385:LCQ655387 LMM655385:LMM655387 LWI655385:LWI655387 MGE655385:MGE655387 JPG458777:JPG458779 JZC458777:JZC458779 KIY458777:KIY458779 KSU458777:KSU458779 LCQ458777:LCQ458779 LMM458777:LMM458779 LWI458777:LWI458779 MGE458777:MGE458779 MQA458777:MQA458779 MZW458777:MZW458779 NJS458777:NJS458779 NTO458777:NTO458779 ODK458777:ODK458779 ONG458777:ONG458779 OXC458777:OXC458779 PGY458777:PGY458779 PQU458777:PQU458779 QAQ458777:QAQ458779 QKM458777:QKM458779 QUI458777:QUI458779 REE458777:REE458779 ROA458777:ROA458779 RXW458777:RXW458779 SHS458777:SHS458779 SRO458777:SRO458779 TBK458777:TBK458779 TLG458777:TLG458779 TVC458777:TVC458779 UEY458777:UEY458779 UOU458777:UOU458779 UYQ458777:UYQ458779 VIM458777:VIM458779 AMY720921:AMY720923 AWU720921:AWU720923 BGQ720921:BGQ720923 BQM720921:BQM720923 CAI720921:CAI720923 CKE720921:CKE720923 CUA720921:CUA720923 DDW720921:DDW720923 DNS720921:DNS720923 DXO720921:DXO720923 EHK720921:EHK720923 ERG720921:ERG720923 FBC720921:FBC720923 FKY720921:FKY720923 FUU720921:FUU720923 GEQ720921:GEQ720923 GOM720921:GOM720923 GYI720921:GYI720923 HIE720921:HIE720923 HSA720921:HSA720923 IBW720921:IBW720923 ILS720921:ILS720923 IVO720921:IVO720923 JFK720921:JFK720923 JPG720921:JPG720923 JZC720921:JZC720923 KIY720921:KIY720923 KSU720921:KSU720923 LCQ720921:LCQ720923 LMM720921:LMM720923 LWI720921:LWI720923 MGE720921:MGE720923 JPG524313:JPG524315 JZC524313:JZC524315 KIY524313:KIY524315 KSU524313:KSU524315 LCQ524313:LCQ524315 LMM524313:LMM524315 LWI524313:LWI524315 MGE524313:MGE524315 MQA524313:MQA524315 MZW524313:MZW524315 NJS524313:NJS524315 NTO524313:NTO524315 ODK524313:ODK524315 ONG524313:ONG524315 OXC524313:OXC524315 PGY524313:PGY524315 PQU524313:PQU524315 QAQ524313:QAQ524315 QKM524313:QKM524315 QUI524313:QUI524315 REE524313:REE524315 ROA524313:ROA524315 RXW524313:RXW524315 SHS524313:SHS524315 SRO524313:SRO524315 TBK524313:TBK524315 TLG524313:TLG524315 TVC524313:TVC524315 UEY524313:UEY524315 UOU524313:UOU524315 UYQ524313:UYQ524315 VIM524313:VIM524315 VSI524313:VSI524315 WCE524313:WCE524315 WMA524313:WMA524315 WVW524313:WVW524315 UEY327705:UEY327707 UOU327705:UOU327707 UYQ327705:UYQ327707 VIM327705:VIM327707 VSI327705:VSI327707 WCE327705:WCE327707 WMA327705:WMA327707 WVW327705:WVW327707 O393241:O393243 JK393241:JK393243 TG393241:TG393243 ADC393241:ADC393243 AMY393241:AMY393243 AWU393241:AWU393243 BGQ393241:BGQ393243 BQM393241:BQM393243 CAI393241:CAI393243 CKE393241:CKE393243 CUA393241:CUA393243 DDW393241:DDW393243 DNS393241:DNS393243 DXO393241:DXO393243 EHK393241:EHK393243 ERG393241:ERG393243 FBC393241:FBC393243 FKY393241:FKY393243 FUU393241:FUU393243 GEQ393241:GEQ393243 GOM393241:GOM393243 GYI393241:GYI393243 HIE393241:HIE393243 HSA393241:HSA393243 LCQ589849:LCQ589851 LMM589849:LMM589851 LWI589849:LWI589851 MGE589849:MGE589851 MQA589849:MQA589851 MZW589849:MZW589851 NJS589849:NJS589851 NTO589849:NTO589851 ODK589849:ODK589851 ONG589849:ONG589851 OXC589849:OXC589851 PGY589849:PGY589851 PQU589849:PQU589851 QAQ589849:QAQ589851 QKM589849:QKM589851 QUI589849:QUI589851 REE589849:REE589851 ROA589849:ROA589851 RXW589849:RXW589851 SHS589849:SHS589851 SRO589849:SRO589851 TBK589849:TBK589851 TLG589849:TLG589851 TVC589849:TVC589851 UEY589849:UEY589851 UOU589849:UOU589851 UYQ589849:UYQ589851 VIM589849:VIM589851 VSI589849:VSI589851 WCE589849:WCE589851 WMA589849:WMA589851 WVW589849:WVW589851 UEY393241:UEY393243 UOU393241:UOU393243 UYQ393241:UYQ393243 VIM393241:VIM393243 VSI393241:VSI393243 WCE393241:WCE393243 WMA393241:WMA393243 WVW393241:WVW393243 O458777:O458779 JK458777:JK458779 TG458777:TG458779 ADC458777:ADC458779 AMY458777:AMY458779 AWU458777:AWU458779 BGQ458777:BGQ458779 BQM458777:BQM458779 CAI458777:CAI458779 CKE458777:CKE458779 CUA458777:CUA458779 DDW458777:DDW458779 DNS458777:DNS458779 DXO458777:DXO458779 EHK458777:EHK458779 ERG458777:ERG458779 FBC458777:FBC458779 FKY458777:FKY458779 FUU458777:FUU458779 GEQ458777:GEQ458779 GOM458777:GOM458779 GYI458777:GYI458779 HIE458777:HIE458779 HSA458777:HSA458779 IBW458777:IBW458779 ILS458777:ILS458779 IVO458777:IVO458779 JFK458777:JFK458779 GOM262169:GOM262171 GYI262169:GYI262171 HIE262169:HIE262171 HSA262169:HSA262171 IBW262169:IBW262171 ILS262169:ILS262171 IVO262169:IVO262171 JFK262169:JFK262171 JPG262169:JPG262171 JZC262169:JZC262171 KIY262169:KIY262171 KSU262169:KSU262171 LCQ262169:LCQ262171 LMM262169:LMM262171 LWI262169:LWI262171 MGE262169:MGE262171 MQA262169:MQA262171 MZW262169:MZW262171 NJS262169:NJS262171 NTO262169:NTO262171 ODK262169:ODK262171 ONG262169:ONG262171 OXC262169:OXC262171 PGY262169:PGY262171 PQU262169:PQU262171 QAQ262169:QAQ262171 QKM262169:QKM262171 QUI262169:QUI262171 REE262169:REE262171 ROA262169:ROA262171 RXW262169:RXW262171 SHS262169:SHS262171 VSI458777:VSI458779 WCE458777:WCE458779 WMA458777:WMA458779 WVW458777:WVW458779 O524313:O524315 JK524313:JK524315 TG524313:TG524315 ADC524313:ADC524315 AMY524313:AMY524315 AWU524313:AWU524315 BGQ524313:BGQ524315 BQM524313:BQM524315 CAI524313:CAI524315 CKE524313:CKE524315 CUA524313:CUA524315 DDW524313:DDW524315 DNS524313:DNS524315 DXO524313:DXO524315 EHK524313:EHK524315 ERG524313:ERG524315 FBC524313:FBC524315 FKY524313:FKY524315 FUU524313:FUU524315 GEQ524313:GEQ524315 GOM524313:GOM524315 GYI524313:GYI524315 HIE524313:HIE524315 HSA524313:HSA524315 IBW524313:IBW524315 ILS524313:ILS524315 IVO524313:IVO524315 JFK524313:JFK524315 GOM327705:GOM327707 GYI327705:GYI327707 HIE327705:HIE327707 HSA327705:HSA327707 IBW327705:IBW327707 ILS327705:ILS327707 IVO327705:IVO327707 JFK327705:JFK327707 JPG327705:JPG327707 JZC327705:JZC327707 KIY327705:KIY327707 KSU327705:KSU327707 LCQ327705:LCQ327707 LMM327705:LMM327707 LWI327705:LWI327707 MGE327705:MGE327707 MQA327705:MQA327707 MZW327705:MZW327707 NJS327705:NJS327707 NTO327705:NTO327707 ODK327705:ODK327707 ONG327705:ONG327707 OXC327705:OXC327707 PGY327705:PGY327707 PQU327705:PQU327707 QAQ327705:QAQ327707 QKM327705:QKM327707 QUI327705:QUI327707 REE327705:REE327707 ROA327705:ROA327707 RXW327705:RXW327707 SHS327705:SHS327707 SRO327705:SRO327707 TBK327705:TBK327707 TLG327705:TLG327707 TVC327705:TVC327707 REE131097:REE131099 ROA131097:ROA131099 RXW131097:RXW131099 SHS131097:SHS131099 SRO131097:SRO131099 TBK131097:TBK131099 TLG131097:TLG131099 TVC131097:TVC131099 UEY131097:UEY131099 UOU131097:UOU131099 UYQ131097:UYQ131099 VIM131097:VIM131099 VSI131097:VSI131099 WCE131097:WCE131099 WMA131097:WMA131099 WVW131097:WVW131099 O196633:O196635 JK196633:JK196635 TG196633:TG196635 ADC196633:ADC196635 AMY196633:AMY196635 AWU196633:AWU196635 BGQ196633:BGQ196635 BQM196633:BQM196635 CAI196633:CAI196635 CKE196633:CKE196635 CUA196633:CUA196635 DDW196633:DDW196635 DNS196633:DNS196635 DXO196633:DXO196635 EHK196633:EHK196635 ERG196633:ERG196635 IBW393241:IBW393243 ILS393241:ILS393243 IVO393241:IVO393243 JFK393241:JFK393243 JPG393241:JPG393243 JZC393241:JZC393243 KIY393241:KIY393243 KSU393241:KSU393243 LCQ393241:LCQ393243 LMM393241:LMM393243 LWI393241:LWI393243 MGE393241:MGE393243 MQA393241:MQA393243 MZW393241:MZW393243 NJS393241:NJS393243 NTO393241:NTO393243 ODK393241:ODK393243 ONG393241:ONG393243 OXC393241:OXC393243 PGY393241:PGY393243 PQU393241:PQU393243 QAQ393241:QAQ393243 QKM393241:QKM393243 QUI393241:QUI393243 REE393241:REE393243 ROA393241:ROA393243 RXW393241:RXW393243 SHS393241:SHS393243 SRO393241:SRO393243 TBK393241:TBK393243 TLG393241:TLG393243 TVC393241:TVC393243 REE196633:REE196635 ROA196633:ROA196635 RXW196633:RXW196635 SHS196633:SHS196635 SRO196633:SRO196635 TBK196633:TBK196635 TLG196633:TLG196635 TVC196633:TVC196635 UEY196633:UEY196635 UOU196633:UOU196635 UYQ196633:UYQ196635 VIM196633:VIM196635 VSI196633:VSI196635 WCE196633:WCE196635 WMA196633:WMA196635 WVW196633:WVW196635 O262169:O262171 JK262169:JK262171 TG262169:TG262171 ADC262169:ADC262171 AMY262169:AMY262171 AWU262169:AWU262171 BGQ262169:BGQ262171 BQM262169:BQM262171 CAI262169:CAI262171 CKE262169:CKE262171 CUA262169:CUA262171 DDW262169:DDW262171 DNS262169:DNS262171 DXO262169:DXO262171 EHK262169:EHK262171 ERG262169:ERG262171 FBC262169:FBC262171 FKY262169:FKY262171 FUU262169:FUU262171 GEQ262169:GEQ262171 DNS65561:DNS65563 DXO65561:DXO65563 EHK65561:EHK65563 ERG65561:ERG65563 FBC65561:FBC65563 FKY65561:FKY65563 FUU65561:FUU65563 GEQ65561:GEQ65563 GOM65561:GOM65563 GYI65561:GYI65563 HIE65561:HIE65563 HSA65561:HSA65563 IBW65561:IBW65563 ILS65561:ILS65563 IVO65561:IVO65563 JFK65561:JFK65563 JPG65561:JPG65563 JZC65561:JZC65563 KIY65561:KIY65563 KSU65561:KSU65563 LCQ65561:LCQ65563 LMM65561:LMM65563 LWI65561:LWI65563 MGE65561:MGE65563 MQA65561:MQA65563 MZW65561:MZW65563 NJS65561:NJS65563 NTO65561:NTO65563 ODK65561:ODK65563 ONG65561:ONG65563 OXC65561:OXC65563 PGY65561:PGY65563 SRO262169:SRO262171 TBK262169:TBK262171 TLG262169:TLG262171 TVC262169:TVC262171 UEY262169:UEY262171 UOU262169:UOU262171 UYQ262169:UYQ262171 VIM262169:VIM262171 VSI262169:VSI262171 WCE262169:WCE262171 WMA262169:WMA262171 WVW262169:WVW262171 O327705:O327707 JK327705:JK327707 TG327705:TG327707 ADC327705:ADC327707 AMY327705:AMY327707 AWU327705:AWU327707 BGQ327705:BGQ327707 BQM327705:BQM327707 CAI327705:CAI327707 CKE327705:CKE327707 CUA327705:CUA327707 DDW327705:DDW327707 DNS327705:DNS327707 DXO327705:DXO327707 EHK327705:EHK327707 ERG327705:ERG327707 FBC327705:FBC327707 FKY327705:FKY327707 FUU327705:FUU327707 GEQ327705:GEQ327707 DNS131097:DNS131099 DXO131097:DXO131099 EHK131097:EHK131099 ERG131097:ERG131099 FBC131097:FBC131099 FKY131097:FKY131099 FUU131097:FUU131099 GEQ131097:GEQ131099 GOM131097:GOM131099 GYI131097:GYI131099 HIE131097:HIE131099 HSA131097:HSA131099 IBW131097:IBW131099 ILS131097:ILS131099 IVO131097:IVO131099 JFK131097:JFK131099 JPG131097:JPG131099 JZC131097:JZC131099 KIY131097:KIY131099 KSU131097:KSU131099 LCQ131097:LCQ131099 LMM131097:LMM131099 LWI131097:LWI131099 MGE131097:MGE131099 MQA131097:MQA131099 MZW131097:MZW131099 NJS131097:NJS131099 NTO131097:NTO131099 ODK131097:ODK131099 ONG131097:ONG131099 OXC131097:OXC131099 PGY131097:PGY131099 PQU131097:PQU131099 QAQ131097:QAQ131099 QKM131097:QKM131099 QUI131097:QUI131099 ODF983064:ODF983066 ONB983064:ONB983066 OWX983064:OWX983066 PGT983064:PGT983066 PQP983064:PQP983066 QAL983064:QAL983066 QKH983064:QKH983066 QUD983064:QUD983066 RDZ983064:RDZ983066 RNV983064:RNV983066 RXR983064:RXR983066 SHN983064:SHN983066 SRJ983064:SRJ983066 TBF983064:TBF983066 TLB983064:TLB983066 TUX983064:TUX983066 UET983064:UET983066 UOP983064:UOP983066 UYL983064:UYL983066 VIH983064:VIH983066 VSD983064:VSD983066 WBZ983064:WBZ983066 WLV983064:WLV983066 WVR983064:WVR983066 O25:O27 JK25:JK27 TG25:TG27 ADC25:ADC27 AMY25:AMY27 AWU25:AWU27 BGQ25:BGQ27 BQM25:BQM27 FBC196633:FBC196635 FKY196633:FKY196635 FUU196633:FUU196635 GEQ196633:GEQ196635 GOM196633:GOM196635 GYI196633:GYI196635 HIE196633:HIE196635 HSA196633:HSA196635 IBW196633:IBW196635 ILS196633:ILS196635 IVO196633:IVO196635 JFK196633:JFK196635 JPG196633:JPG196635 JZC196633:JZC196635 KIY196633:KIY196635 KSU196633:KSU196635 LCQ196633:LCQ196635 LMM196633:LMM196635 LWI196633:LWI196635 MGE196633:MGE196635 MQA196633:MQA196635 MZW196633:MZW196635 NJS196633:NJS196635 NTO196633:NTO196635 ODK196633:ODK196635 ONG196633:ONG196635 OXC196633:OXC196635 PGY196633:PGY196635 PQU196633:PQU196635 QAQ196633:QAQ196635 QKM196633:QKM196635 QUI196633:QUI196635 ODK25:ODK27 ONG25:ONG27 OXC25:OXC27 PGY25:PGY27 PQU25:PQU27 QAQ25:QAQ27 QKM25:QKM27 QUI25:QUI27 REE25:REE27 ROA25:ROA27 RXW25:RXW27 SHS25:SHS27 SRO25:SRO27 TBK25:TBK27 TLG25:TLG27 TVC25:TVC27 UEY25:UEY27 UOU25:UOU27 UYQ25:UYQ27 VIM25:VIM27 VSI25:VSI27 WCE25:WCE27 WMA25:WMA27 WVW25:WVW27 O65561:O65563 JK65561:JK65563 TG65561:TG65563 ADC65561:ADC65563 AMY65561:AMY65563 AWU65561:AWU65563 BGQ65561:BGQ65563 BQM65561:BQM65563 CAI65561:CAI65563 CKE65561:CKE65563 CUA65561:CUA65563 DDW65561:DDW65563 AMT917528:AMT917530 AWP917528:AWP917530 BGL917528:BGL917530 BQH917528:BQH917530 CAD917528:CAD917530 CJZ917528:CJZ917530 CTV917528:CTV917530 DDR917528:DDR917530 DNN917528:DNN917530 DXJ917528:DXJ917530 EHF917528:EHF917530 ERB917528:ERB917530 FAX917528:FAX917530 FKT917528:FKT917530 FUP917528:FUP917530 GEL917528:GEL917530 GOH917528:GOH917530 GYD917528:GYD917530 HHZ917528:HHZ917530 HRV917528:HRV917530 IBR917528:IBR917530 ILN917528:ILN917530 IVJ917528:IVJ917530 JFF917528:JFF917530 JPB917528:JPB917530 JYX917528:JYX917530 KIT917528:KIT917530 KSP917528:KSP917530 LCL917528:LCL917530 LMH917528:LMH917530 LWD917528:LWD917530 MFZ917528:MFZ917530 PQU65561:PQU65563 QAQ65561:QAQ65563 QKM65561:QKM65563 QUI65561:QUI65563 REE65561:REE65563 ROA65561:ROA65563 RXW65561:RXW65563 SHS65561:SHS65563 SRO65561:SRO65563 TBK65561:TBK65563 TLG65561:TLG65563 TVC65561:TVC65563 UEY65561:UEY65563 UOU65561:UOU65563 UYQ65561:UYQ65563 VIM65561:VIM65563 VSI65561:VSI65563 WCE65561:WCE65563 WMA65561:WMA65563 WVW65561:WVW65563 O131097:O131099 JK131097:JK131099 TG131097:TG131099 ADC131097:ADC131099 AMY131097:AMY131099 AWU131097:AWU131099 BGQ131097:BGQ131099 BQM131097:BQM131099 CAI131097:CAI131099 CKE131097:CKE131099 CUA131097:CUA131099 DDW131097:DDW131099 AMT983064:AMT983066 AWP983064:AWP983066 BGL983064:BGL983066 BQH983064:BQH983066 CAD983064:CAD983066 CJZ983064:CJZ983066 CTV983064:CTV983066 DDR983064:DDR983066 DNN983064:DNN983066 DXJ983064:DXJ983066 EHF983064:EHF983066 ERB983064:ERB983066 FAX983064:FAX983066 FKT983064:FKT983066 FUP983064:FUP983066 GEL983064:GEL983066 GOH983064:GOH983066 GYD983064:GYD983066 HHZ983064:HHZ983066 HRV983064:HRV983066 IBR983064:IBR983066 ILN983064:ILN983066 IVJ983064:IVJ983066 JFF983064:JFF983066 JPB983064:JPB983066 JYX983064:JYX983066 KIT983064:KIT983066 KSP983064:KSP983066 LCL983064:LCL983066 LMH983064:LMH983066 LWD983064:LWD983066 MFZ983064:MFZ983066 MPV983064:MPV983066 MZR983064:MZR983066 NJN983064:NJN983066 NTJ983064:NTJ983066 LCL786456:LCL786458 LMH786456:LMH786458 LWD786456:LWD786458 MFZ786456:MFZ786458 MPV786456:MPV786458 MZR786456:MZR786458 NJN786456:NJN786458 NTJ786456:NTJ786458 ODF786456:ODF786458 ONB786456:ONB786458 OWX786456:OWX786458 PGT786456:PGT786458 PQP786456:PQP786458 QAL786456:QAL786458 QKH786456:QKH786458 QUD786456:QUD786458 RDZ786456:RDZ786458 RNV786456:RNV786458 RXR786456:RXR786458 SHN786456:SHN786458 SRJ786456:SRJ786458 TBF786456:TBF786458 TLB786456:TLB786458 TUX786456:TUX786458 UET786456:UET786458 UOP786456:UOP786458 UYL786456:UYL786458 VIH786456:VIH786458 VSD786456:VSD786458 WBZ786456:WBZ786458 WLV786456:WLV786458 WVR786456:WVR786458 CAI25:CAI27 CKE25:CKE27 CUA25:CUA27 DDW25:DDW27 DNS25:DNS27 DXO25:DXO27 EHK25:EHK27 ERG25:ERG27 FBC25:FBC27 FKY25:FKY27 FUU25:FUU27 GEQ25:GEQ27 GOM25:GOM27 GYI25:GYI27 HIE25:HIE27 HSA25:HSA27 IBW25:IBW27 ILS25:ILS27 IVO25:IVO27 JFK25:JFK27 JPG25:JPG27 JZC25:JZC27 KIY25:KIY27 KSU25:KSU27 LCQ25:LCQ27 LMM25:LMM27 LWI25:LWI27 MGE25:MGE27 MQA25:MQA27 MZW25:MZW27 NJS25:NJS27 NTO25:NTO27 LCL851992:LCL851994 LMH851992:LMH851994 LWD851992:LWD851994 MFZ851992:MFZ851994 MPV851992:MPV851994 MZR851992:MZR851994 NJN851992:NJN851994 NTJ851992:NTJ851994 ODF851992:ODF851994 ONB851992:ONB851994 OWX851992:OWX851994 PGT851992:PGT851994 PQP851992:PQP851994 QAL851992:QAL851994 QKH851992:QKH851994 QUD851992:QUD851994 RDZ851992:RDZ851994 RNV851992:RNV851994 RXR851992:RXR851994 SHN851992:SHN851994 SRJ851992:SRJ851994 TBF851992:TBF851994 TLB851992:TLB851994 TUX851992:TUX851994 UET851992:UET851994 UOP851992:UOP851994 UYL851992:UYL851994 VIH851992:VIH851994 VSD851992:VSD851994 WBZ851992:WBZ851994 WLV851992:WLV851994 WVR851992:WVR851994 J917528:J917530 JF917528:JF917530 TB917528:TB917530 ACX917528:ACX917530 VSD655384:VSD655386 WBZ655384:WBZ655386 WLV655384:WLV655386 WVR655384:WVR655386 J720920:J720922 JF720920:JF720922 TB720920:TB720922 ACX720920:ACX720922 AMT720920:AMT720922 AWP720920:AWP720922 BGL720920:BGL720922 BQH720920:BQH720922 CAD720920:CAD720922 CJZ720920:CJZ720922 CTV720920:CTV720922 DDR720920:DDR720922 DNN720920:DNN720922 DXJ720920:DXJ720922 EHF720920:EHF720922 ERB720920:ERB720922 FAX720920:FAX720922 FKT720920:FKT720922 FUP720920:FUP720922 GEL720920:GEL720922 GOH720920:GOH720922 GYD720920:GYD720922 HHZ720920:HHZ720922 HRV720920:HRV720922 IBR720920:IBR720922 ILN720920:ILN720922 IVJ720920:IVJ720922 JFF720920:JFF720922 MPV917528:MPV917530 MZR917528:MZR917530 NJN917528:NJN917530 NTJ917528:NTJ917530 ODF917528:ODF917530 ONB917528:ONB917530 OWX917528:OWX917530 PGT917528:PGT917530 PQP917528:PQP917530 QAL917528:QAL917530 QKH917528:QKH917530 QUD917528:QUD917530 RDZ917528:RDZ917530 RNV917528:RNV917530 RXR917528:RXR917530 SHN917528:SHN917530 SRJ917528:SRJ917530 TBF917528:TBF917530 TLB917528:TLB917530 TUX917528:TUX917530 UET917528:UET917530 UOP917528:UOP917530 UYL917528:UYL917530 VIH917528:VIH917530 VSD917528:VSD917530 WBZ917528:WBZ917530 WLV917528:WLV917530 WVR917528:WVR917530 J983064:J983066 JF983064:JF983066 TB983064:TB983066 ACX983064:ACX983066 VSD720920:VSD720922 WBZ720920:WBZ720922 WLV720920:WLV720922 WVR720920:WVR720922 J786456:J786458 JF786456:JF786458 TB786456:TB786458 ACX786456:ACX786458 AMT786456:AMT786458 AWP786456:AWP786458 BGL786456:BGL786458 BQH786456:BQH786458 CAD786456:CAD786458 CJZ786456:CJZ786458 CTV786456:CTV786458 DDR786456:DDR786458 DNN786456:DNN786458 DXJ786456:DXJ786458 EHF786456:EHF786458 ERB786456:ERB786458 FAX786456:FAX786458 FKT786456:FKT786458 FUP786456:FUP786458 GEL786456:GEL786458 GOH786456:GOH786458 GYD786456:GYD786458 HHZ786456:HHZ786458 HRV786456:HRV786458 IBR786456:IBR786458 ILN786456:ILN786458 IVJ786456:IVJ786458 JFF786456:JFF786458 JPB786456:JPB786458 JYX786456:JYX786458 KIT786456:KIT786458 KSP786456:KSP786458 IBR589848:IBR589850 ILN589848:ILN589850 IVJ589848:IVJ589850 JFF589848:JFF589850 JPB589848:JPB589850 JYX589848:JYX589850 KIT589848:KIT589850 KSP589848:KSP589850 LCL589848:LCL589850 LMH589848:LMH589850 LWD589848:LWD589850 MFZ589848:MFZ589850 MPV589848:MPV589850 MZR589848:MZR589850 NJN589848:NJN589850 NTJ589848:NTJ589850 ODF589848:ODF589850 ONB589848:ONB589850 OWX589848:OWX589850 PGT589848:PGT589850 PQP589848:PQP589850 QAL589848:QAL589850 QKH589848:QKH589850 QUD589848:QUD589850 RDZ589848:RDZ589850 RNV589848:RNV589850 RXR589848:RXR589850 SHN589848:SHN589850 SRJ589848:SRJ589850 TBF589848:TBF589850 TLB589848:TLB589850 TUX589848:TUX589850 J851992:J851994 JF851992:JF851994 TB851992:TB851994 ACX851992:ACX851994 AMT851992:AMT851994 AWP851992:AWP851994 BGL851992:BGL851994 BQH851992:BQH851994 CAD851992:CAD851994 CJZ851992:CJZ851994 CTV851992:CTV851994 DDR851992:DDR851994 DNN851992:DNN851994 DXJ851992:DXJ851994 EHF851992:EHF851994 ERB851992:ERB851994 FAX851992:FAX851994 FKT851992:FKT851994 FUP851992:FUP851994 GEL851992:GEL851994 GOH851992:GOH851994 GYD851992:GYD851994 HHZ851992:HHZ851994 HRV851992:HRV851994 IBR851992:IBR851994 ILN851992:ILN851994 IVJ851992:IVJ851994 JFF851992:JFF851994 JPB851992:JPB851994 JYX851992:JYX851994 KIT851992:KIT851994 KSP851992:KSP851994 IBR655384:IBR655386 ILN655384:ILN655386 IVJ655384:IVJ655386 JFF655384:JFF655386 JPB655384:JPB655386 JYX655384:JYX655386 KIT655384:KIT655386 KSP655384:KSP655386 LCL655384:LCL655386 LMH655384:LMH655386 LWD655384:LWD655386 MFZ655384:MFZ655386 MPV655384:MPV655386 MZR655384:MZR655386 NJN655384:NJN655386 NTJ655384:NTJ655386 ODF655384:ODF655386 ONB655384:ONB655386 OWX655384:OWX655386 PGT655384:PGT655386 PQP655384:PQP655386 QAL655384:QAL655386 QKH655384:QKH655386 QUD655384:QUD655386 RDZ655384:RDZ655386 RNV655384:RNV655386 RXR655384:RXR655386 SHN655384:SHN655386 SRJ655384:SRJ655386 TBF655384:TBF655386 TLB655384:TLB655386 TUX655384:TUX655386 UET655384:UET655386 UOP655384:UOP655386 UYL655384:UYL655386 VIH655384:VIH655386 SRJ458776:SRJ458778 TBF458776:TBF458778 TLB458776:TLB458778 TUX458776:TUX458778 UET458776:UET458778 UOP458776:UOP458778 UYL458776:UYL458778 VIH458776:VIH458778 VSD458776:VSD458778 WBZ458776:WBZ458778 WLV458776:WLV458778 WVR458776:WVR458778 J524312:J524314 JF524312:JF524314 TB524312:TB524314 ACX524312:ACX524314 AMT524312:AMT524314 AWP524312:AWP524314 BGL524312:BGL524314 BQH524312:BQH524314 CAD524312:CAD524314 CJZ524312:CJZ524314 CTV524312:CTV524314 DDR524312:DDR524314 DNN524312:DNN524314 DXJ524312:DXJ524314 EHF524312:EHF524314 ERB524312:ERB524314 FAX524312:FAX524314 FKT524312:FKT524314 FUP524312:FUP524314 GEL524312:GEL524314 JPB720920:JPB720922 JYX720920:JYX720922 KIT720920:KIT720922 KSP720920:KSP720922 LCL720920:LCL720922 LMH720920:LMH720922 LWD720920:LWD720922 MFZ720920:MFZ720922 MPV720920:MPV720922 MZR720920:MZR720922 NJN720920:NJN720922 NTJ720920:NTJ720922 ODF720920:ODF720922 ONB720920:ONB720922 OWX720920:OWX720922 PGT720920:PGT720922 PQP720920:PQP720922 QAL720920:QAL720922 QKH720920:QKH720922 QUD720920:QUD720922 RDZ720920:RDZ720922 RNV720920:RNV720922 RXR720920:RXR720922 SHN720920:SHN720922 SRJ720920:SRJ720922 TBF720920:TBF720922 TLB720920:TLB720922 TUX720920:TUX720922 UET720920:UET720922 UOP720920:UOP720922 UYL720920:UYL720922 VIH720920:VIH720922 SRJ524312:SRJ524314 TBF524312:TBF524314 TLB524312:TLB524314 TUX524312:TUX524314 UET524312:UET524314 UOP524312:UOP524314 UYL524312:UYL524314 VIH524312:VIH524314 VSD524312:VSD524314 WBZ524312:WBZ524314 WLV524312:WLV524314 WVR524312:WVR524314 J589848:J589850 JF589848:JF589850 TB589848:TB589850 ACX589848:ACX589850 AMT589848:AMT589850 AWP589848:AWP589850 BGL589848:BGL589850 BQH589848:BQH589850 CAD589848:CAD589850 CJZ589848:CJZ589850 CTV589848:CTV589850 DDR589848:DDR589850 DNN589848:DNN589850 DXJ589848:DXJ589850 EHF589848:EHF589850 ERB589848:ERB589850 FAX589848:FAX589850 FKT589848:FKT589850 FUP589848:FUP589850 GEL589848:GEL589850 GOH589848:GOH589850 GYD589848:GYD589850 HHZ589848:HHZ589850 HRV589848:HRV589850 FAX393240:FAX393242 FKT393240:FKT393242 FUP393240:FUP393242 GEL393240:GEL393242 GOH393240:GOH393242 GYD393240:GYD393242 HHZ393240:HHZ393242 HRV393240:HRV393242 IBR393240:IBR393242 ILN393240:ILN393242 IVJ393240:IVJ393242 JFF393240:JFF393242 JPB393240:JPB393242 JYX393240:JYX393242 KIT393240:KIT393242 KSP393240:KSP393242 LCL393240:LCL393242 LMH393240:LMH393242 LWD393240:LWD393242 MFZ393240:MFZ393242 MPV393240:MPV393242 MZR393240:MZR393242 NJN393240:NJN393242 NTJ393240:NTJ393242 ODF393240:ODF393242 ONB393240:ONB393242 OWX393240:OWX393242 PGT393240:PGT393242 PQP393240:PQP393242 QAL393240:QAL393242 QKH393240:QKH393242 QUD393240:QUD393242 UET589848:UET589850 UOP589848:UOP589850 UYL589848:UYL589850 VIH589848:VIH589850 VSD589848:VSD589850 WBZ589848:WBZ589850 WLV589848:WLV589850 WVR589848:WVR589850 J655384:J655386 JF655384:JF655386 TB655384:TB655386 ACX655384:ACX655386 AMT655384:AMT655386 AWP655384:AWP655386 BGL655384:BGL655386 BQH655384:BQH655386 CAD655384:CAD655386 CJZ655384:CJZ655386 CTV655384:CTV655386 DDR655384:DDR655386 DNN655384:DNN655386 DXJ655384:DXJ655386 EHF655384:EHF655386 ERB655384:ERB655386 FAX655384:FAX655386 FKT655384:FKT655386 FUP655384:FUP655386 GEL655384:GEL655386 GOH655384:GOH655386 GYD655384:GYD655386 HHZ655384:HHZ655386 HRV655384:HRV655386 FAX458776:FAX458778 FKT458776:FKT458778 FUP458776:FUP458778 GEL458776:GEL458778 GOH458776:GOH458778 GYD458776:GYD458778 HHZ458776:HHZ458778 HRV458776:HRV458778 IBR458776:IBR458778 ILN458776:ILN458778 IVJ458776:IVJ458778 JFF458776:JFF458778 JPB458776:JPB458778 JYX458776:JYX458778 KIT458776:KIT458778 KSP458776:KSP458778 LCL458776:LCL458778 LMH458776:LMH458778 LWD458776:LWD458778 MFZ458776:MFZ458778 MPV458776:MPV458778 MZR458776:MZR458778 NJN458776:NJN458778 NTJ458776:NTJ458778 ODF458776:ODF458778 ONB458776:ONB458778 OWX458776:OWX458778 PGT458776:PGT458778 PQP458776:PQP458778 QAL458776:QAL458778 QKH458776:QKH458778 QUD458776:QUD458778 RDZ458776:RDZ458778 RNV458776:RNV458778 RXR458776:RXR458778 SHN458776:SHN458778 PQP262168:PQP262170 QAL262168:QAL262170 QKH262168:QKH262170 QUD262168:QUD262170 RDZ262168:RDZ262170 RNV262168:RNV262170 RXR262168:RXR262170 SHN262168:SHN262170 SRJ262168:SRJ262170 TBF262168:TBF262170 TLB262168:TLB262170 TUX262168:TUX262170 UET262168:UET262170 UOP262168:UOP262170 UYL262168:UYL262170 VIH262168:VIH262170 VSD262168:VSD262170 WBZ262168:WBZ262170 WLV262168:WLV262170 WVR262168:WVR262170 J327704:J327706 JF327704:JF327706 TB327704:TB327706 ACX327704:ACX327706 AMT327704:AMT327706 AWP327704:AWP327706 BGL327704:BGL327706 BQH327704:BQH327706 CAD327704:CAD327706 CJZ327704:CJZ327706 CTV327704:CTV327706 DDR327704:DDR327706 GOH524312:GOH524314 GYD524312:GYD524314 HHZ524312:HHZ524314 HRV524312:HRV524314 IBR524312:IBR524314 ILN524312:ILN524314 IVJ524312:IVJ524314 JFF524312:JFF524314 JPB524312:JPB524314 JYX524312:JYX524314 KIT524312:KIT524314 KSP524312:KSP524314 LCL524312:LCL524314 LMH524312:LMH524314 LWD524312:LWD524314 MFZ524312:MFZ524314 MPV524312:MPV524314 MZR524312:MZR524314 NJN524312:NJN524314 NTJ524312:NTJ524314 ODF524312:ODF524314 ONB524312:ONB524314 OWX524312:OWX524314 PGT524312:PGT524314 PQP524312:PQP524314 QAL524312:QAL524314 QKH524312:QKH524314 QUD524312:QUD524314 RDZ524312:RDZ524314 RNV524312:RNV524314 RXR524312:RXR524314 SHN524312:SHN524314 PQP327704:PQP327706 QAL327704:QAL327706 QKH327704:QKH327706 QUD327704:QUD327706 RDZ327704:RDZ327706 RNV327704:RNV327706 RXR327704:RXR327706 SHN327704:SHN327706 SRJ327704:SRJ327706 TBF327704:TBF327706 TLB327704:TLB327706 TUX327704:TUX327706 UET327704:UET327706 UOP327704:UOP327706 UYL327704:UYL327706 VIH327704:VIH327706 VSD327704:VSD327706 WBZ327704:WBZ327706 WLV327704:WLV327706 WVR327704:WVR327706 J393240:J393242 JF393240:JF393242 TB393240:TB393242 ACX393240:ACX393242 AMT393240:AMT393242 AWP393240:AWP393242 BGL393240:BGL393242 BQH393240:BQH393242 CAD393240:CAD393242 CJZ393240:CJZ393242 CTV393240:CTV393242 DDR393240:DDR393242 DNN393240:DNN393242 DXJ393240:DXJ393242 EHF393240:EHF393242 ERB393240:ERB393242 CAD196632:CAD196634 CJZ196632:CJZ196634 CTV196632:CTV196634 DDR196632:DDR196634 DNN196632:DNN196634 DXJ196632:DXJ196634 EHF196632:EHF196634 ERB196632:ERB196634 FAX196632:FAX196634 FKT196632:FKT196634 FUP196632:FUP196634 GEL196632:GEL196634 GOH196632:GOH196634 GYD196632:GYD196634 HHZ196632:HHZ196634 HRV196632:HRV196634 IBR196632:IBR196634 ILN196632:ILN196634 IVJ196632:IVJ196634 JFF196632:JFF196634 JPB196632:JPB196634 JYX196632:JYX196634 KIT196632:KIT196634 KSP196632:KSP196634 LCL196632:LCL196634 LMH196632:LMH196634 LWD196632:LWD196634 MFZ196632:MFZ196634 MPV196632:MPV196634 MZR196632:MZR196634 NJN196632:NJN196634 NTJ196632:NTJ196634 RDZ393240:RDZ393242 RNV393240:RNV393242 RXR393240:RXR393242 SHN393240:SHN393242 SRJ393240:SRJ393242 TBF393240:TBF393242 TLB393240:TLB393242 TUX393240:TUX393242 UET393240:UET393242 UOP393240:UOP393242 UYL393240:UYL393242 VIH393240:VIH393242 VSD393240:VSD393242 WBZ393240:WBZ393242 WLV393240:WLV393242 WVR393240:WVR393242 J458776:J458778 JF458776:JF458778 TB458776:TB458778 ACX458776:ACX458778 AMT458776:AMT458778 AWP458776:AWP458778 BGL458776:BGL458778 BQH458776:BQH458778 CAD458776:CAD458778 CJZ458776:CJZ458778 CTV458776:CTV458778 DDR458776:DDR458778 DNN458776:DNN458778 DXJ458776:DXJ458778 EHF458776:EHF458778 ERB458776:ERB458778 CAD262168:CAD262170 CJZ262168:CJZ262170 CTV262168:CTV262170 DDR262168:DDR262170 DNN262168:DNN262170 DXJ262168:DXJ262170 EHF262168:EHF262170 ERB262168:ERB262170 FAX262168:FAX262170 FKT262168:FKT262170 FUP262168:FUP262170 GEL262168:GEL262170 GOH262168:GOH262170 GYD262168:GYD262170 HHZ262168:HHZ262170 HRV262168:HRV262170 IBR262168:IBR262170 ILN262168:ILN262170 IVJ262168:IVJ262170 JFF262168:JFF262170 JPB262168:JPB262170 JYX262168:JYX262170 KIT262168:KIT262170 KSP262168:KSP262170 LCL262168:LCL262170 LMH262168:LMH262170 LWD262168:LWD262170 MFZ262168:MFZ262170 MPV262168:MPV262170 MZR262168:MZR262170 NJN262168:NJN262170 NTJ262168:NTJ262170 ODF262168:ODF262170 ONB262168:ONB262170 OWX262168:OWX262170 PGT262168:PGT262170 MPV65560:MPV65562 MZR65560:MZR65562 NJN65560:NJN65562 NTJ65560:NTJ65562 ODF65560:ODF65562 ONB65560:ONB65562 OWX65560:OWX65562 PGT65560:PGT65562 PQP65560:PQP65562 QAL65560:QAL65562 QKH65560:QKH65562 QUD65560:QUD65562 RDZ65560:RDZ65562 RNV65560:RNV65562 RXR65560:RXR65562 SHN65560:SHN65562 SRJ65560:SRJ65562 TBF65560:TBF65562 TLB65560:TLB65562 TUX65560:TUX65562 UET65560:UET65562 UOP65560:UOP65562 UYL65560:UYL65562 VIH65560:VIH65562 VSD65560:VSD65562 WBZ65560:WBZ65562 WLV65560:WLV65562 WVR65560:WVR65562 J131096:J131098 JF131096:JF131098 TB131096:TB131098 ACX131096:ACX131098 DNN327704:DNN327706 DXJ327704:DXJ327706 EHF327704:EHF327706 ERB327704:ERB327706 FAX327704:FAX327706 FKT327704:FKT327706 FUP327704:FUP327706 GEL327704:GEL327706 GOH327704:GOH327706 GYD327704:GYD327706 HHZ327704:HHZ327706 HRV327704:HRV327706 IBR327704:IBR327706 ILN327704:ILN327706 IVJ327704:IVJ327706 JFF327704:JFF327706 JPB327704:JPB327706 JYX327704:JYX327706 KIT327704:KIT327706 KSP327704:KSP327706 LCL327704:LCL327706 LMH327704:LMH327706 LWD327704:LWD327706 MFZ327704:MFZ327706 MPV327704:MPV327706 MZR327704:MZR327706 NJN327704:NJN327706 NTJ327704:NTJ327706 ODF327704:ODF327706 ONB327704:ONB327706 OWX327704:OWX327706 PGT327704:PGT327706 AMT131096:AMT131098 AWP131096:AWP131098 BGL131096:BGL131098 BQH131096:BQH131098 CAD131096:CAD131098 CJZ131096:CJZ131098 CTV131096:CTV131098 DDR131096:DDR131098 DNN131096:DNN131098 DXJ131096:DXJ131098 EHF131096:EHF131098 ERB131096:ERB131098 FAX131096:FAX131098 FKT131096:FKT131098 FUP131096:FUP131098 GEL131096:GEL131098 GOH131096:GOH131098 GYD131096:GYD131098 HHZ131096:HHZ131098 HRV131096:HRV131098 IBR131096:IBR131098 ILN131096:ILN131098 IVJ131096:IVJ131098 JFF131096:JFF131098 JPB131096:JPB131098 JYX131096:JYX131098 KIT131096:KIT131098 KSP131096:KSP131098 LCL131096:LCL131098 LMH131096:LMH131098 LWD131096:LWD131098 MFZ131096:MFZ131098 MPV131096:MPV131098 MZR131096:MZR131098 NJN131096:NJN131098 NTJ131096:NTJ131098 ODF131096:ODF131098 ONB131096:ONB131098 OWX131096:OWX131098 PGT131096:PGT131098 PQP131096:PQP131098 QAL131096:QAL131098 QKH131096:QKH131098 QUD131096:QUD131098 RDZ131096:RDZ131098 RNV131096:RNV131098 RXR131096:RXR131098 SHN131096:SHN131098 SRJ131096:SRJ131098 TBF131096:TBF131098 TLB131096:TLB131098 TUX131096:TUX131098 UET131096:UET131098 UOP131096:UOP131098 UYL131096:UYL131098 VIH131096:VIH131098 VSD131096:VSD131098 WBZ131096:WBZ131098 WLV131096:WLV131098 WVR131096:WVR131098 J196632:J196634 JF196632:JF196634 TB196632:TB196634 ACX196632:ACX196634 AMT196632:AMT196634 AWP196632:AWP196634 BGL196632:BGL196634 BQH196632:BQH196634 ODF196632:ODF196634 ONB196632:ONB196634 OWX196632:OWX196634 PGT196632:PGT196634 PQP196632:PQP196634 QAL196632:QAL196634 QKH196632:QKH196634 QUD196632:QUD196634 RDZ196632:RDZ196634 RNV196632:RNV196634 RXR196632:RXR196634 SHN196632:SHN196634 SRJ196632:SRJ196634 TBF196632:TBF196634 TLB196632:TLB196634 TUX196632:TUX196634 UET196632:UET196634 UOP196632:UOP196634 UYL196632:UYL196634 VIH196632:VIH196634 VSD196632:VSD196634 WBZ196632:WBZ196634 WLV196632:WLV196634 WVR196632:WVR196634 J262168:J262170 JF262168:JF262170 TB262168:TB262170 ACX262168:ACX262170 AMT262168:AMT262170 AWP262168:AWP262170 BGL262168:BGL262170 BQH262168:BQH262170" xr:uid="{00000000-0002-0000-0B00-000084000000}">
      <formula1>0</formula1>
    </dataValidation>
    <dataValidation type="whole" operator="greaterThanOrEqual" allowBlank="1" showInputMessage="1" showErrorMessage="1" sqref="J23 JF23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TLB917527 TUX917527 UET917527 UOP917527 UYL917527 VIH917527 VSD917527 WBZ917527 WLV917527 WVR917527 J983063 JF983063 TB983063 ACX983063 AMT983063 AWP983063 BGL983063 BQH983063 CAD983063 CJZ983063 CTV983063 DDR983063 DNN983063 DXJ983063 EHF983063 FUP851991 GEL851991 GOH851991 GYD851991 HHZ851991 HRV851991 IBR851991 ILN851991 IVJ851991 JFF851991 JPB851991 JYX851991 KIT851991 KSP851991 LCL851991 LMH851991 LWD851991 MFZ851991 MPV851991 MZR851991 NJN851991 NTJ851991 ODF851991 ONB851991 OWX851991 ODF983063 ONB983063 OWX983063 PGT983063 PQP983063 QAL983063 QKH983063 QUD983063 RDZ983063 RNV983063 RXR983063 SHN983063 SRJ983063 TBF983063 TLB983063 TUX983063 UET983063 UOP983063 UYL983063 VIH983063 VSD983063 WBZ983063 WLV983063 WVR983063 N36:N39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QKH720919 QUD720919 RDZ720919 RNV720919 RXR720919 SHN720919 SRJ720919 TBF720919 TLB720919 TUX720919 UET720919 UOP720919 UYL720919 VIH720919 VSD720919 WBZ720919 WLV720919 WVR720919 J786455 JF786455 TB786455 ACX786455 AMT786455 AWP786455 BGL786455 ERB983063 FAX983063 FKT983063 FUP983063 GEL983063 GOH983063 GYD983063 HHZ983063 HRV983063 IBR983063 ILN983063 IVJ983063 JFF983063 JPB983063 JYX983063 KIT983063 KSP983063 LCL983063 LMH983063 LWD983063 MFZ983063 MPV983063 MZR983063 NJN983063 NTJ983063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J851991 JF851991 TB851991 ACX851991 AMT851991 AWP851991 BGL851991 BQH851991 CAD851991 CJZ851991 CTV851991 DDR851991 DNN851991 DXJ851991 EHF851991 ERB851991 FAX851991 FKT851991 CTV655383 DDR655383 DNN655383 DXJ655383 EHF655383 ERB655383 FAX655383 FKT655383 FUP655383 GEL655383 GOH655383 GYD655383 HHZ655383 HRV655383 IBR655383 ILN655383 IVJ655383 JFF655383 JPB655383 JYX655383 KIT655383 KSP655383 LCL655383 LMH655383 LWD655383 PGT851991 PQP851991 QAL851991 QKH851991 QUD851991 RDZ851991 RNV851991 RXR851991 SHN851991 SRJ851991 TBF851991 TLB851991 TUX851991 UET851991 UOP851991 UYL851991 VIH851991 VSD851991 WBZ851991 WLV851991 WVR851991 J917527 JF917527 TB917527 ACX917527 VSD655383 WBZ655383 WLV655383 WVR655383 J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NJN524311 NTJ524311 ODF524311 ONB524311 OWX524311 PGT524311 PQP524311 QAL524311 QKH524311 QUD524311 RDZ524311 RNV524311 RXR524311 SHN524311 SRJ524311 TBF524311 TLB524311 TUX524311 UET524311 UOP524311 UYL524311 VIH524311 VSD524311 WBZ524311 WLV524311 BQH786455 CAD786455 CJZ786455 CTV786455 DDR786455 DNN786455 DXJ786455 EHF786455 ERB786455 FAX786455 FKT786455 FUP786455 GEL786455 GOH786455 GYD786455 HHZ786455 HRV786455 IBR786455 ILN786455 IVJ786455 JFF786455 JPB786455 JYX786455 KIT786455 KSP786455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J655383 JF655383 TB655383 ACX655383 AMT655383 AWP655383 BGL655383 BQH655383 CAD655383 CJZ655383 TB458775 ACX458775 AMT458775 AWP458775 BGL458775 BQH458775 CAD458775 CJZ458775 CTV458775 DDR458775 DNN458775 DXJ458775 EHF458775 ERB458775 FAX458775 FKT458775 FUP458775 GEL458775 GOH458775 GYD458775 HHZ458775 HRV458775 IBR458775 ILN458775 IVJ458775 MFZ655383 MPV655383 MZR655383 NJN655383 NTJ655383 ODF655383 ONB655383 OWX655383 PGT655383 PQP655383 QAL655383 QKH655383 QUD655383 RDZ655383 RNV655383 RXR655383 SHN655383 SRJ655383 TBF655383 TLB655383 TUX655383 UET655383 UOP655383 UYL655383 VIH655383 SRJ458775 TBF458775 TLB458775 TUX458775 UET458775 UOP458775 UYL458775 VIH458775 VSD458775 WBZ458775 WLV458775 WVR458775 J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KIT327703 KSP327703 LCL327703 LMH327703 LWD327703 MFZ327703 MPV327703 MZR327703 NJN327703 NTJ327703 ODF327703 ONB327703 OWX327703 PGT327703 PQP327703 QAL327703 QKH327703 QUD327703 RDZ327703 RNV327703 RXR327703 SHN327703 SRJ327703 TBF327703 TLB327703 WVR524311 J589847 JF589847 TB589847 ACX589847 AMT589847 AWP589847 BGL589847 BQH589847 CAD589847 CJZ589847 CTV589847 DDR589847 DNN589847 DXJ589847 EHF589847 ERB589847 FAX589847 FKT589847 FUP589847 GEL589847 GOH589847 GYD589847 HHZ589847 HRV589847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J458775 JF458775 UYL196631 VIH196631 VSD196631 WBZ196631 WLV196631 WVR196631 J262167 JF262167 TB262167 ACX262167 AMT262167 AWP262167 BGL262167 BQH262167 CAD262167 CJZ262167 CTV262167 DDR262167 DNN262167 DXJ262167 EHF262167 ERB262167 FAX262167 FKT262167 FUP262167 JFF458775 JPB458775 JYX458775 KIT458775 KSP458775 LCL458775 LMH458775 LWD458775 MFZ458775 MPV458775 MZR458775 NJN458775 NTJ458775 ODF458775 ONB458775 OWX458775 PGT458775 PQP458775 QAL458775 QKH458775 QUD458775 RDZ458775 RNV458775 RXR458775 SHN458775 PQP262167 QAL262167 QKH262167 QUD262167 RDZ262167 RNV262167 RXR262167 SHN262167 SRJ262167 TBF262167 TLB262167 TUX262167 UET262167 UOP262167 UYL262167 VIH262167 VSD262167 WBZ262167 WLV262167 WVR262167 J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HHZ131095 HRV131095 IBR131095 ILN131095 IVJ131095 JFF131095 JPB131095 JYX131095 KIT131095 KSP131095 LCL131095 LMH131095 LWD131095 MFZ131095 MPV131095 MZR131095 NJN131095 NTJ131095 ODF131095 ONB131095 OWX131095 PGT131095 PQP131095 QAL131095 QKH131095 TUX327703 UET327703 UOP327703 UYL327703 VIH327703 VSD327703 WBZ327703 WLV327703 WVR327703 J393239 JF393239 TB393239 ACX393239 AMT393239 AWP393239 BGL393239 BQH393239 CAD393239 CJZ393239 CTV393239 DDR393239 DNN393239 DXJ393239 EHF393239 ERB393239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QUD131095 RDZ131095 RNV131095 RXR131095 SHN131095 SRJ131095 TBF131095 TLB131095 TUX131095 UET131095 UOP131095 UYL131095 VIH131095 VSD131095 WBZ131095 WLV131095 WVR131095 J196631 JF196631 TB196631 ACX196631 AMT196631 AWP196631 BGL196631 BQH196631 GEL262167 GOH262167 GYD262167 HHZ262167 HRV262167 IBR262167 ILN262167 IVJ262167 JFF262167 JPB262167 JYX262167 KIT262167 KSP262167 LCL262167 LMH262167 LWD262167 MFZ262167 MPV262167 MZR262167 NJN262167 NTJ262167 ODF262167 ONB262167 OWX262167 PGT262167 MPV65559 MZR65559 NJN65559 NTJ65559 ODF65559 ONB65559 OWX65559 PGT65559 PQP65559 QAL65559 QKH65559 QUD65559 RDZ65559 RNV65559 RXR65559 SHN65559 SRJ65559 TBF65559 TLB65559 TUX65559 UET65559 UOP65559 UYL65559 VIH65559 VSD65559 WBZ65559 WLV65559 WVR65559 J131095 JF131095 TB131095 ACX131095 AMT131095 AWP131095 BGL131095 BQH131095 CAD131095 CJZ131095 CTV131095 DDR131095 DNN131095 DXJ131095 EHF131095 ERB131095 FAX131095 FKT131095 FUP131095 GEL131095 GOH131095 GYD131095" xr:uid="{00000000-0002-0000-0B00-0000CC000000}">
      <formula1>0</formula1>
    </dataValidation>
    <dataValidation type="textLength" operator="equal" allowBlank="1" showInputMessage="1" showErrorMessage="1" promptTitle="CTD Number" prompt="This cell will only accept a CTD number of exactly 9 digits.  Enter 000 at the end of the charter number to fill the places of a school number." sqref="WVT98304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65537 JH65537 TD65537 ACZ65537 AMV65537 AWR65537 BGN65537 BQJ65537 CAF65537 CKB65537 CTX65537 DDT65537 DNP65537 DXL65537 EHH65537 ERD65537 FAZ65537 FKV65537 FUR65537 GEN65537 GOJ65537 GYF65537 HIB65537 HRX65537 IBT65537 ILP65537 IVL65537 JFH65537 JPD65537 JYZ65537 KIV65537 KSR65537 LCN65537 LMJ65537 LWF65537 MGB65537 UYN917505 VIJ917505 VSF917505 WCB917505 WLX917505 WVT917505 L983041 JH983041 TD983041 ACZ983041 AMV983041 AWR983041 BGN983041 BQJ983041 CAF983041 CKB983041 CTX983041 DDT983041 DNP983041 DXL983041 EHH983041 ERD983041 FAZ983041 HIB851969 HRX851969 IBT851969 ILP851969 IVL851969 JFH851969 JPD851969 JYZ851969 KIV851969 KSR851969 LCN851969 LMJ851969 LWF851969 MGB851969 MPX851969 MZT851969 NJP851969 NTL851969 ODH851969 OND851969 OWZ851969 PGV851969 PQR851969 ODH983041 OND983041 OWZ983041 PGV983041 PQR983041 QAN983041 QKJ983041 QUF983041 REB983041 RNX983041 RXT983041 SHP983041 SRL983041 TBH983041 TLD983041 TUZ983041 UEV983041 UOR983041 UYN983041 VIJ983041 VSF983041 WCB983041 WLX983041 AMV917505 AWR917505 BGN917505 BQJ917505 CAF917505 CKB917505 CTX917505 DDT917505 DNP917505 DXL917505 EHH917505 ERD917505 FAZ917505 FKV917505 FUR917505 GEN917505 GOJ917505 GYF917505 HIB917505 HRX917505 IBT917505 ILP917505 IVL917505 JFH917505 JPD917505 JYZ917505 KIV917505 KSR917505 LCN917505 LMJ917505 LWF917505 MGB917505 MPX917505 MZT917505 NJP917505 NTL917505 ODH917505 OND917505 OWZ917505 PGV917505 PQR917505 QAN917505 QKJ917505 QUF917505 REB917505 RNX917505 RXT917505 SHP917505 SRL917505 TBH917505 TLD917505 TUZ917505 UEV917505 UOR917505 RXT720897 SHP720897 SRL720897 TBH720897 TLD720897 TUZ720897 UEV720897 UOR720897 UYN720897 VIJ720897 VSF720897 WCB720897 WLX720897 WVT720897 L786433 JH786433 TD786433 ACZ786433 AMV786433 AWR786433 BGN786433 BQJ786433 CAF786433 FKV983041 FUR983041 GEN983041 GOJ983041 GYF983041 HIB983041 HRX983041 IBT983041 ILP983041 IVL983041 JFH983041 JPD983041 JYZ983041 KIV983041 KSR983041 LCN983041 LMJ983041 LWF983041 MGB983041 MPX983041 MZT983041 NJP983041 NTL983041 LCN786433 LMJ786433 LWF786433 MGB786433 MPX786433 MZT786433 NJP786433 NTL786433 ODH786433 OND786433 OWZ786433 PGV786433 PQR786433 QAN786433 QKJ786433 QUF786433 REB786433 RNX786433 RXT786433 SHP786433 SRL786433 TBH786433 TLD786433 TUZ786433 UEV786433 UOR786433 UYN786433 VIJ786433 VSF786433 WCB786433 WLX786433 WVT786433 L851969 JH851969 TD851969 ACZ851969 AMV851969 AWR851969 BGN851969 BQJ851969 CAF851969 CKB851969 CTX851969 DDT851969 DNP851969 DXL851969 EHH851969 ERD851969 FAZ851969 FKV851969 FUR851969 GEN851969 GOJ851969 GYF851969 EHH655361 ERD655361 FAZ655361 FKV655361 FUR655361 GEN655361 GOJ655361 GYF655361 HIB655361 HRX655361 IBT655361 ILP655361 IVL655361 JFH655361 JPD655361 JYZ655361 KIV655361 KSR655361 LCN655361 LMJ655361 LWF655361 MGB655361 MPX655361 QAN851969 QKJ851969 QUF851969 REB851969 RNX851969 RXT851969 SHP851969 SRL851969 TBH851969 TLD851969 TUZ851969 UEV851969 UOR851969 UYN851969 VIJ851969 VSF851969 WCB851969 WLX851969 WVT851969 L917505 JH917505 TD917505 ACZ917505 VSF655361 WCB655361 WLX655361 WVT655361 L720897 JH720897 TD720897 ACZ720897 AMV720897 AWR720897 BGN720897 BQJ720897 CAF720897 CKB720897 CTX720897 DDT720897 DNP720897 DXL720897 EHH720897 ERD720897 FAZ720897 FKV720897 FUR720897 GEN720897 GOJ720897 GYF720897 HIB720897 HRX720897 IBT720897 ILP720897 IVL720897 JFH720897 JPD720897 JYZ720897 KIV720897 KSR720897 LCN720897 LMJ720897 LWF720897 MGB720897 MPX720897 MZT720897 NJP720897 NTL720897 ODH720897 OND720897 OWZ720897 PGV720897 PQR720897 QAN720897 QKJ720897 QUF720897 REB720897 RNX720897 OWZ524289 PGV524289 PQR524289 QAN524289 QKJ524289 QUF524289 REB524289 RNX524289 RXT524289 SHP524289 SRL524289 TBH524289 TLD524289 TUZ524289 UEV524289 UOR524289 UYN524289 VIJ524289 VSF524289 WCB524289 WLX524289 WVT524289 L589825 CKB786433 CTX786433 DDT786433 DNP786433 DXL786433 EHH786433 ERD786433 FAZ786433 FKV786433 FUR786433 GEN786433 GOJ786433 GYF786433 HIB786433 HRX786433 IBT786433 ILP786433 IVL786433 JFH786433 JPD786433 JYZ786433 KIV786433 KSR786433 IBT589825 ILP589825 IVL589825 JFH589825 JPD589825 JYZ589825 KIV589825 KSR589825 LCN589825 LMJ589825 LWF589825 MGB589825 MPX589825 MZT589825 NJP589825 NTL589825 ODH589825 OND589825 OWZ589825 PGV589825 PQR589825 QAN589825 QKJ589825 QUF589825 REB589825 RNX589825 RXT589825 SHP589825 SRL589825 TBH589825 TLD589825 TUZ589825 UEV589825 UOR589825 UYN589825 VIJ589825 VSF589825 WCB589825 WLX589825 WVT589825 L655361 JH655361 TD655361 ACZ655361 AMV655361 AWR655361 BGN655361 BQJ655361 CAF655361 CKB655361 CTX655361 DDT655361 DNP655361 DXL655361 BGN458753 BQJ458753 CAF458753 CKB458753 CTX458753 DDT458753 DNP458753 DXL458753 EHH458753 ERD458753 FAZ458753 FKV458753 FUR458753 GEN458753 GOJ458753 GYF458753 HIB458753 HRX458753 IBT458753 ILP458753 IVL458753 JFH458753 JPD458753 MZT655361 NJP655361 NTL655361 ODH655361 OND655361 OWZ655361 PGV655361 PQR655361 QAN655361 QKJ655361 QUF655361 REB655361 RNX655361 RXT655361 SHP655361 SRL655361 TBH655361 TLD655361 TUZ655361 UEV655361 UOR655361 UYN655361 VIJ655361 SRL458753 TBH458753 TLD458753 TUZ458753 UEV458753 UOR458753 UYN458753 VIJ458753 VSF458753 WCB458753 WLX458753 WVT458753 L524289 JH524289 TD524289 ACZ524289 AMV524289 AWR524289 BGN524289 BQJ524289 CAF524289 CKB524289 CTX524289 DDT524289 DNP524289 DXL524289 EHH524289 ERD524289 FAZ524289 FKV524289 FUR524289 GEN524289 GOJ524289 GYF524289 HIB524289 HRX524289 IBT524289 ILP524289 IVL524289 JFH524289 JPD524289 JYZ524289 KIV524289 KSR524289 LCN524289 LMJ524289 LWF524289 MGB524289 MPX524289 MZT524289 NJP524289 NTL524289 ODH524289 OND524289 LWF327681 MGB327681 MPX327681 MZT327681 NJP327681 NTL327681 ODH327681 OND327681 OWZ327681 PGV327681 PQR327681 QAN327681 QKJ327681 QUF327681 REB327681 RNX327681 RXT327681 SHP327681 SRL327681 TBH327681 TLD327681 TUZ327681 UEV327681 JH589825 TD589825 ACZ589825 AMV589825 AWR589825 BGN589825 BQJ589825 CAF589825 CKB589825 CTX589825 DDT589825 DNP589825 DXL589825 EHH589825 ERD589825 FAZ589825 FKV589825 FUR589825 GEN589825 GOJ589825 GYF589825 HIB589825 HRX589825 FAZ393217 FKV393217 FUR393217 GEN393217 GOJ393217 GYF393217 HIB393217 HRX393217 IBT393217 ILP393217 IVL393217 JFH393217 JPD393217 JYZ393217 KIV393217 KSR393217 LCN393217 LMJ393217 LWF393217 MGB393217 MPX393217 MZT393217 NJP393217 NTL393217 ODH393217 OND393217 OWZ393217 PGV393217 PQR393217 QAN393217 QKJ393217 QUF393217 REB393217 RNX393217 RXT393217 SHP393217 SRL393217 TBH393217 TLD393217 TUZ393217 UEV393217 UOR393217 UYN393217 VIJ393217 VSF393217 WCB393217 WLX393217 WVT393217 L458753 JH458753 TD458753 ACZ458753 AMV458753 AWR458753 WLX196609 WVT196609 L262145 JH262145 TD262145 ACZ262145 AMV262145 AWR262145 BGN262145 BQJ262145 CAF262145 CKB262145 CTX262145 DDT262145 DNP262145 DXL262145 EHH262145 ERD262145 FAZ262145 FKV262145 FUR262145 GEN262145 GOJ262145 JYZ458753 KIV458753 KSR458753 LCN458753 LMJ458753 LWF458753 MGB458753 MPX458753 MZT458753 NJP458753 NTL458753 ODH458753 OND458753 OWZ458753 PGV458753 PQR458753 QAN458753 QKJ458753 QUF458753 REB458753 RNX458753 RXT458753 SHP458753 PQR262145 QAN262145 QKJ262145 QUF262145 REB262145 RNX262145 RXT262145 SHP262145 SRL262145 TBH262145 TLD262145 TUZ262145 UEV262145 UOR262145 UYN262145 VIJ262145 VSF262145 WCB262145 WLX262145 WVT262145 L327681 JH327681 TD327681 ACZ327681 AMV327681 AWR327681 BGN327681 BQJ327681 CAF327681 CKB327681 CTX327681 DDT327681 DNP327681 DXL327681 EHH327681 ERD327681 FAZ327681 FKV327681 FUR327681 GEN327681 GOJ327681 GYF327681 HIB327681 HRX327681 IBT327681 ILP327681 IVL327681 JFH327681 JPD327681 JYZ327681 KIV327681 KSR327681 LCN327681 LMJ327681 IVL131073 JFH131073 JPD131073 JYZ131073 KIV131073 KSR131073 LCN131073 LMJ131073 LWF131073 MGB131073 MPX131073 MZT131073 NJP131073 NTL131073 ODH131073 OND131073 OWZ131073 PGV131073 PQR131073 QAN131073 QKJ131073 QUF131073 REB131073 UOR327681 UYN327681 VIJ327681 VSF327681 WCB327681 WLX327681 WVT327681 L393217 JH393217 TD393217 ACZ393217 AMV393217 AWR393217 BGN393217 BQJ393217 CAF393217 CKB393217 CTX393217 DDT393217 DNP393217 DXL393217 EHH393217 ERD393217 CAF196609 CKB196609 CTX196609 DDT196609 DNP196609 DXL196609 EHH196609 ERD196609 FAZ196609 FKV196609 FUR196609 GEN196609 GOJ196609 GYF196609 HIB196609 HRX196609 IBT196609 ILP196609 IVL196609 JFH196609 JPD196609 JYZ196609 KIV196609 KSR196609 LCN196609 LMJ196609 LWF196609 MGB196609 MPX196609 MZT196609 NJP196609 NTL196609 ODH196609 OND196609 OWZ196609 PGV196609 PQR196609 QAN196609 QKJ196609 QUF196609 REB196609 RNX196609 RXT196609 SHP196609 SRL196609 TBH196609 TLD196609 TUZ196609 UEV196609 UOR196609 UYN196609 VIJ196609 VSF196609 WCB196609 RNX131073 RXT131073 SHP131073 SRL131073 TBH131073 TLD131073 TUZ131073 UEV131073 UOR131073 UYN131073 VIJ131073 VSF131073 WCB131073 WLX131073 WVT131073 L196609 JH196609 TD196609 ACZ196609 AMV196609 AWR196609 BGN196609 BQJ196609 GYF262145 HIB262145 HRX262145 IBT262145 ILP262145 IVL262145 JFH262145 JPD262145 JYZ262145 KIV262145 KSR262145 LCN262145 LMJ262145 LWF262145 MGB262145 MPX262145 MZT262145 NJP262145 NTL262145 ODH262145 OND262145 OWZ262145 PGV262145 MPX65537 MZT65537 NJP65537 NTL65537 ODH65537 OND65537 OWZ65537 PGV65537 PQR65537 QAN65537 QKJ65537 QUF65537 REB65537 RNX65537 RXT65537 SHP65537 SRL65537 TBH65537 TLD65537 TUZ65537 UEV65537 UOR65537 UYN65537 VIJ65537 VSF65537 WCB65537 WLX65537 WVT65537 L131073 JH131073 TD131073 ACZ131073 AMV131073 AWR131073 BGN131073 BQJ131073 CAF131073 CKB131073 CTX131073 DDT131073 DNP131073 DXL131073 EHH131073 ERD131073 FAZ131073 FKV131073 FUR131073 GEN131073 GOJ131073 GYF131073 HIB131073 HRX131073 IBT131073 ILP131073" xr:uid="{00000000-0002-0000-0B00-0000D7000000}">
      <formula1>9</formula1>
    </dataValidation>
    <dataValidation operator="equal" allowBlank="1" showInputMessage="1" showErrorMessage="1" promptTitle="CTD Number" prompt="This cell will only accept a CTD number of exactly 9 digits.  Enter 000 at the end of the charter number to fill the places of a school number." sqref="L1" xr:uid="{00000000-0002-0000-0B00-0000E2000000}"/>
    <dataValidation type="whole" allowBlank="1" showInputMessage="1" showErrorMessage="1" errorTitle="Input error" error="The amount entered should be rounded to the nearest dollar and should not exceed the remaining Other funds balance (column D minus columns E and F)." sqref="F42" xr:uid="{00000000-0002-0000-0B00-0000E3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s E and F)." sqref="ODC983082" xr:uid="{00000000-0002-0000-0B00-0000E4000000}">
      <formula1>0</formula1>
      <formula2>D42-E42-#REF!</formula2>
    </dataValidation>
    <dataValidation type="whole" allowBlank="1" showInputMessage="1" showErrorMessage="1" errorTitle="Input error" error="The amount entered should be rounded to the nearest dollar and should not exceed the remaining ESSER I fund balance (column D minus columns E and F)." sqref="F37" xr:uid="{00000000-0002-0000-0B00-0000E5000000}">
      <formula1>0</formula1>
      <formula2>D37-E37-#REF!</formula2>
    </dataValidation>
    <dataValidation type="whole" allowBlank="1" showInputMessage="1" showErrorMessage="1" errorTitle="Input error" error="The amount entered should be rounded to the nearest dollar and should not exceed the remaining ESSER I fund balance (column D minus columns E and F)." sqref="ODC983077" xr:uid="{00000000-0002-0000-0B00-0000E6000000}">
      <formula1>0</formula1>
      <formula2>D37-E37-#REF!</formula2>
    </dataValidation>
    <dataValidation type="whole" allowBlank="1" showInputMessage="1" showErrorMessage="1" errorTitle="Input error" error="The amount entered should be rounded to the nearest dollar and should not exceed the remaining ESSER II fund balance (column D minus columns E and F)." sqref="F38" xr:uid="{00000000-0002-0000-0B00-0000E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DC983078" xr:uid="{00000000-0002-0000-0B00-0000E8000000}">
      <formula1>0</formula1>
      <formula2>D38-E38-#REF!</formula2>
    </dataValidation>
    <dataValidation type="whole" allowBlank="1" showInputMessage="1" showErrorMessage="1" errorTitle="Input error" error="The amount entered should be rounded to the nearest dollar and should not exceed the remaining ESG Fund balance (column D minus columns E and F)." sqref="F41" xr:uid="{00000000-0002-0000-0B00-0000E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s E and F)." sqref="ODC983081" xr:uid="{00000000-0002-0000-0B00-0000EA000000}">
      <formula1>0</formula1>
      <formula2>D41-E41-#REF!</formula2>
    </dataValidation>
    <dataValidation type="whole" allowBlank="1" showInputMessage="1" showErrorMessage="1" errorTitle="Input error" error="The amount entered should be rounded to the nearest dollar and should not exceed the remaining GEER fund balance (column D minus columns E and F)." sqref="F40" xr:uid="{00000000-0002-0000-0B00-0000EB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s E and F)." sqref="ODC983080" xr:uid="{00000000-0002-0000-0B00-0000EC000000}">
      <formula1>0</formula1>
      <formula2>D40-E40-#REF!</formula2>
    </dataValidation>
    <dataValidation type="whole" allowBlank="1" showInputMessage="1" showErrorMessage="1" errorTitle="Input error" error="The amount entered should be rounded to the nearest dollar and should not exceed the remaining ESSER III fund balance (column D minus columns E and F)." sqref="F39" xr:uid="{00000000-0002-0000-0B00-0000ED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DC983079" xr:uid="{00000000-0002-0000-0B00-0000EE000000}">
      <formula1>0</formula1>
      <formula2>D39-E39-#REF!</formula2>
    </dataValidation>
  </dataValidations>
  <hyperlinks>
    <hyperlink ref="A18" location="Page10OtherLine" display="Other" xr:uid="{00000000-0004-0000-0B00-000000000000}"/>
    <hyperlink ref="A21:C21" location="Page10TechDetail" display="Technology related expenses from COVID-19 federal relief projects" xr:uid="{00000000-0004-0000-0B00-000001000000}"/>
    <hyperlink ref="A28" location="Page10TechDetailLine7" display="7. 6641-43 Software reported in library books, textbooks, or instructional aids " xr:uid="{00000000-0004-0000-0B00-000002000000}"/>
    <hyperlink ref="L8:L9" location="Page10PropertyDisbursement" display="Property" xr:uid="{00000000-0004-0000-0B00-000003000000}"/>
    <hyperlink ref="L24" location="Page10PropertyDisbursementDetail" display="Property disbursements from COVID-19 federal relief projects" xr:uid="{00000000-0004-0000-0B00-000004000000}"/>
    <hyperlink ref="G21" location="Page10PropertyDisbursementDetail" display="Property disbursement detail for COVID-19 federal relief projects" xr:uid="{00000000-0004-0000-0B00-000005000000}"/>
    <hyperlink ref="G30" location="Page10DebtServiceDetail" display="Debt service detail for COVID-19 federal relief projects" xr:uid="{00000000-0004-0000-0B00-000006000000}"/>
    <hyperlink ref="A37" location="Page10ProjectsLine1" display="1. Elementary and Secondary School Emergency Relief Funds (ESSER I)" xr:uid="{00000000-0004-0000-0B00-000007000000}"/>
    <hyperlink ref="A38" location="Page10ProjectsLine2" display="2. Elementary and Secondary School Emergency Relief Funds (ESSER II)" xr:uid="{00000000-0004-0000-0B00-000008000000}"/>
    <hyperlink ref="A39" location="Page10ProjectsLine3" display="3. Elementary and Secondary School Emergency Relief Funds (ESSER III)" xr:uid="{00000000-0004-0000-0B00-000009000000}"/>
    <hyperlink ref="A40" location="Page10ProjectsLine4" display="4. Governor’s Emergency Education Relief Funds (GEER) - includes Acceleration Academies Program" xr:uid="{00000000-0004-0000-0B00-00000A000000}"/>
    <hyperlink ref="A41" location="Page10ProjectsLine5" display="5. Coronavirus Relief Fund (CRF)—Enrollment Stability Grant (ESG) Program" xr:uid="{00000000-0004-0000-0B00-00000B000000}"/>
    <hyperlink ref="A42" location="Page10ProjectsLine6" display="6. Other COVID-19 Federal Relief Funds" xr:uid="{00000000-0004-0000-0B00-00000C000000}"/>
    <hyperlink ref="D35:D36" location="Page10TotalAward" display="Page10TotalAward" xr:uid="{00000000-0004-0000-0B00-00000D000000}"/>
    <hyperlink ref="E35:E36" location="Page10FY20to23Exp" display="Page10FY20to23Exp" xr:uid="{00000000-0004-0000-0B00-00000E000000}"/>
    <hyperlink ref="F35:F36" location="Page10FY24Exp" display="Page10FY24Exp" xr:uid="{00000000-0004-0000-0B00-00000F000000}"/>
    <hyperlink ref="G35:G36" location="Page10Remaining" display="Page10Remaining" xr:uid="{00000000-0004-0000-0B00-000010000000}"/>
    <hyperlink ref="J35" location="Page10PPP" display="Paycheck Protection Program" xr:uid="{00000000-0004-0000-0B00-000011000000}"/>
    <hyperlink ref="A35:C36" location="Page10projects" display="COVID-19 federal relief projects" xr:uid="{00000000-0004-0000-0B00-000012000000}"/>
    <hyperlink ref="A3" location="Page10General" display="Instruction" xr:uid="{7D5011D7-A502-4818-B3B3-FDB6D873E343}"/>
  </hyperlinks>
  <pageMargins left="0.7" right="0.7" top="0.75" bottom="0.75" header="0.3" footer="0.3"/>
  <pageSetup scale="48" orientation="landscape" r:id="rId1"/>
  <headerFooter>
    <oddFooter>&amp;LRev. 8/25 Arizona Department of Education and Auditor General&amp;CFY 2025</oddFooter>
  </headerFooter>
  <colBreaks count="1" manualBreakCount="1">
    <brk id="15"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AE6D5-AFE3-48F5-B3BF-0A798862096D}">
  <sheetPr>
    <pageSetUpPr fitToPage="1"/>
  </sheetPr>
  <dimension ref="A1:R43"/>
  <sheetViews>
    <sheetView showGridLines="0" workbookViewId="0">
      <selection activeCell="E8" sqref="E8"/>
    </sheetView>
  </sheetViews>
  <sheetFormatPr defaultColWidth="9.33203125" defaultRowHeight="13.2" x14ac:dyDescent="0.25"/>
  <cols>
    <col min="1" max="1" width="2.6640625" bestFit="1" customWidth="1"/>
    <col min="2" max="2" width="21.44140625" customWidth="1"/>
    <col min="3" max="3" width="18.109375" customWidth="1"/>
    <col min="4" max="4" width="18.33203125" customWidth="1"/>
    <col min="5" max="5" width="17.21875" customWidth="1"/>
    <col min="6" max="7" width="15.77734375" customWidth="1"/>
    <col min="8" max="8" width="3.21875" customWidth="1"/>
    <col min="9" max="9" width="3.6640625" bestFit="1" customWidth="1"/>
    <col min="10" max="10" width="12.33203125" customWidth="1"/>
    <col min="11" max="11" width="10.77734375" customWidth="1"/>
    <col min="12" max="12" width="11.33203125" customWidth="1"/>
    <col min="13" max="13" width="15.77734375" customWidth="1"/>
    <col min="14" max="14" width="3.6640625" customWidth="1"/>
    <col min="15" max="15" width="15.77734375" customWidth="1"/>
    <col min="16" max="16" width="3.6640625" bestFit="1" customWidth="1"/>
    <col min="17" max="17" width="9.33203125" customWidth="1"/>
  </cols>
  <sheetData>
    <row r="1" spans="1:18" x14ac:dyDescent="0.25">
      <c r="A1" s="794" t="s">
        <v>0</v>
      </c>
      <c r="B1" s="794"/>
      <c r="C1" s="802" t="str">
        <f>'Cover Page'!$D$1</f>
        <v>Highland Prep West</v>
      </c>
      <c r="D1" s="802"/>
      <c r="G1" s="64" t="s">
        <v>1</v>
      </c>
      <c r="H1" s="64"/>
      <c r="I1" s="802" t="str">
        <f>'Cover Page'!$M$1</f>
        <v>Maricopa</v>
      </c>
      <c r="J1" s="802"/>
      <c r="K1" s="71"/>
      <c r="M1" s="943" t="s">
        <v>2</v>
      </c>
      <c r="N1" s="943"/>
      <c r="O1" s="2" t="str">
        <f>'Cover Page'!$R$1</f>
        <v>078419000</v>
      </c>
    </row>
    <row r="2" spans="1:18" ht="13.05" customHeight="1" x14ac:dyDescent="0.25">
      <c r="B2" s="660" t="s">
        <v>726</v>
      </c>
    </row>
    <row r="3" spans="1:18" ht="20.25" customHeight="1" x14ac:dyDescent="0.35">
      <c r="A3" s="940" t="s">
        <v>1186</v>
      </c>
      <c r="B3" s="940"/>
      <c r="C3" s="940"/>
      <c r="D3" s="940"/>
      <c r="E3" s="940"/>
      <c r="F3" s="940"/>
      <c r="G3" s="940"/>
      <c r="H3" s="940"/>
      <c r="I3" s="940"/>
      <c r="J3" s="940"/>
      <c r="K3" s="940"/>
      <c r="L3" s="940"/>
      <c r="M3" s="940"/>
      <c r="N3" s="940"/>
      <c r="O3" s="940"/>
      <c r="P3" s="940"/>
    </row>
    <row r="4" spans="1:18" ht="9" customHeight="1" x14ac:dyDescent="0.25">
      <c r="E4" t="s">
        <v>20</v>
      </c>
    </row>
    <row r="5" spans="1:18" x14ac:dyDescent="0.25">
      <c r="B5" s="617" t="s">
        <v>165</v>
      </c>
      <c r="E5" s="583" t="s">
        <v>23</v>
      </c>
      <c r="F5" s="4"/>
      <c r="J5" s="617" t="s">
        <v>89</v>
      </c>
      <c r="O5" s="583" t="s">
        <v>23</v>
      </c>
    </row>
    <row r="6" spans="1:18" x14ac:dyDescent="0.25">
      <c r="A6" s="68" t="s">
        <v>24</v>
      </c>
      <c r="B6" t="s">
        <v>194</v>
      </c>
      <c r="E6" s="107"/>
      <c r="F6" s="569" t="s">
        <v>24</v>
      </c>
      <c r="I6" s="68" t="s">
        <v>36</v>
      </c>
      <c r="J6" t="s">
        <v>1185</v>
      </c>
      <c r="N6" s="68"/>
      <c r="O6" s="107">
        <v>25164</v>
      </c>
      <c r="P6" s="93" t="s">
        <v>36</v>
      </c>
    </row>
    <row r="7" spans="1:18" x14ac:dyDescent="0.25">
      <c r="A7" s="68" t="s">
        <v>26</v>
      </c>
      <c r="B7" t="s">
        <v>1184</v>
      </c>
      <c r="E7" s="107">
        <v>86110</v>
      </c>
      <c r="F7" s="569" t="s">
        <v>26</v>
      </c>
      <c r="I7" s="68" t="s">
        <v>38</v>
      </c>
      <c r="J7" t="s">
        <v>1183</v>
      </c>
      <c r="N7" s="68"/>
      <c r="O7" s="107"/>
      <c r="P7" s="93" t="s">
        <v>38</v>
      </c>
    </row>
    <row r="8" spans="1:18" x14ac:dyDescent="0.25">
      <c r="A8" s="68" t="s">
        <v>28</v>
      </c>
      <c r="B8" t="s">
        <v>1182</v>
      </c>
      <c r="E8" s="107"/>
      <c r="F8" s="569" t="s">
        <v>28</v>
      </c>
      <c r="I8" s="68" t="s">
        <v>40</v>
      </c>
      <c r="J8" t="s">
        <v>1181</v>
      </c>
      <c r="N8" s="68"/>
      <c r="O8" s="107"/>
      <c r="P8" s="93" t="s">
        <v>40</v>
      </c>
    </row>
    <row r="9" spans="1:18" x14ac:dyDescent="0.25">
      <c r="A9" s="68" t="s">
        <v>31</v>
      </c>
      <c r="B9" t="s">
        <v>1180</v>
      </c>
      <c r="E9" s="90"/>
      <c r="F9" s="569"/>
      <c r="I9" s="68" t="s">
        <v>42</v>
      </c>
      <c r="J9" t="s">
        <v>1179</v>
      </c>
      <c r="N9" s="68"/>
      <c r="O9" s="107"/>
      <c r="P9" s="93" t="s">
        <v>42</v>
      </c>
    </row>
    <row r="10" spans="1:18" x14ac:dyDescent="0.25">
      <c r="A10" s="68"/>
      <c r="B10" t="s">
        <v>1178</v>
      </c>
      <c r="E10" s="639">
        <v>109245</v>
      </c>
      <c r="F10" s="569" t="s">
        <v>31</v>
      </c>
      <c r="I10" s="68" t="s">
        <v>44</v>
      </c>
      <c r="J10" t="s">
        <v>1177</v>
      </c>
      <c r="N10" s="68"/>
      <c r="O10" s="107">
        <v>189542</v>
      </c>
      <c r="P10" s="93" t="s">
        <v>44</v>
      </c>
      <c r="R10" s="31"/>
    </row>
    <row r="11" spans="1:18" x14ac:dyDescent="0.25">
      <c r="A11" s="68" t="s">
        <v>33</v>
      </c>
      <c r="B11" t="s">
        <v>1176</v>
      </c>
      <c r="E11" s="665"/>
      <c r="F11" s="93" t="s">
        <v>33</v>
      </c>
      <c r="I11" s="68" t="s">
        <v>45</v>
      </c>
      <c r="J11" t="s">
        <v>1175</v>
      </c>
      <c r="N11" s="68"/>
      <c r="O11" s="107"/>
      <c r="P11" s="93" t="s">
        <v>45</v>
      </c>
    </row>
    <row r="12" spans="1:18" ht="13.8" thickBot="1" x14ac:dyDescent="0.3">
      <c r="A12" s="68" t="s">
        <v>35</v>
      </c>
      <c r="B12" t="s">
        <v>1174</v>
      </c>
      <c r="E12" s="636">
        <f>SUM(E6:E11)</f>
        <v>195355</v>
      </c>
      <c r="F12" s="93" t="s">
        <v>35</v>
      </c>
      <c r="I12" s="68" t="s">
        <v>47</v>
      </c>
      <c r="J12" t="s">
        <v>1173</v>
      </c>
      <c r="N12" s="68"/>
      <c r="O12" s="107"/>
      <c r="P12" s="93" t="s">
        <v>47</v>
      </c>
    </row>
    <row r="13" spans="1:18" ht="12.75" customHeight="1" thickTop="1" x14ac:dyDescent="0.25">
      <c r="I13" s="68" t="s">
        <v>49</v>
      </c>
      <c r="J13" t="s">
        <v>1172</v>
      </c>
      <c r="N13" s="68"/>
      <c r="O13" s="107"/>
      <c r="P13" s="93" t="s">
        <v>49</v>
      </c>
    </row>
    <row r="14" spans="1:18" x14ac:dyDescent="0.25">
      <c r="A14" s="617"/>
      <c r="B14" s="617" t="s">
        <v>1171</v>
      </c>
      <c r="C14" s="617"/>
      <c r="E14" s="638"/>
      <c r="F14" s="637"/>
      <c r="I14" s="68" t="s">
        <v>51</v>
      </c>
      <c r="J14" t="s">
        <v>1170</v>
      </c>
      <c r="N14" s="68"/>
      <c r="O14" s="107"/>
      <c r="P14" s="93" t="s">
        <v>51</v>
      </c>
    </row>
    <row r="15" spans="1:18" x14ac:dyDescent="0.25">
      <c r="E15" s="637"/>
      <c r="F15" s="637"/>
      <c r="I15" s="68" t="s">
        <v>53</v>
      </c>
      <c r="J15" t="s">
        <v>1169</v>
      </c>
      <c r="N15" s="68"/>
      <c r="O15" s="107"/>
      <c r="P15" s="93" t="s">
        <v>53</v>
      </c>
    </row>
    <row r="16" spans="1:18" ht="12.75" customHeight="1" x14ac:dyDescent="0.25">
      <c r="B16" s="239"/>
      <c r="C16" s="239"/>
      <c r="D16" s="944" t="s">
        <v>1168</v>
      </c>
      <c r="E16" s="946" t="s">
        <v>1167</v>
      </c>
      <c r="F16" s="944" t="s">
        <v>1166</v>
      </c>
      <c r="G16" s="944" t="s">
        <v>1165</v>
      </c>
      <c r="I16" s="68" t="s">
        <v>55</v>
      </c>
      <c r="J16" t="s">
        <v>1164</v>
      </c>
      <c r="N16" s="68"/>
      <c r="O16" s="107"/>
      <c r="P16" s="93" t="s">
        <v>55</v>
      </c>
    </row>
    <row r="17" spans="1:16" x14ac:dyDescent="0.25">
      <c r="A17" s="617"/>
      <c r="B17" s="617" t="s">
        <v>1163</v>
      </c>
      <c r="C17" s="617"/>
      <c r="D17" s="945"/>
      <c r="E17" s="947"/>
      <c r="F17" s="945"/>
      <c r="G17" s="945"/>
      <c r="I17" s="68" t="s">
        <v>57</v>
      </c>
      <c r="J17" t="s">
        <v>1162</v>
      </c>
      <c r="N17" s="68"/>
      <c r="O17" s="107"/>
      <c r="P17" s="93" t="s">
        <v>57</v>
      </c>
    </row>
    <row r="18" spans="1:16" x14ac:dyDescent="0.25">
      <c r="B18" s="634" t="s">
        <v>1161</v>
      </c>
      <c r="D18" s="90"/>
      <c r="E18" s="90"/>
      <c r="F18" s="90"/>
      <c r="G18" s="85"/>
      <c r="I18" s="68" t="s">
        <v>59</v>
      </c>
      <c r="J18" t="s">
        <v>1160</v>
      </c>
      <c r="N18" s="68"/>
      <c r="O18" s="107"/>
      <c r="P18" s="93" t="s">
        <v>59</v>
      </c>
    </row>
    <row r="19" spans="1:16" x14ac:dyDescent="0.25">
      <c r="B19" s="156" t="s">
        <v>1156</v>
      </c>
      <c r="D19" s="633">
        <v>4067</v>
      </c>
      <c r="E19" s="633">
        <v>22042</v>
      </c>
      <c r="F19" s="633"/>
      <c r="G19" s="633"/>
      <c r="I19" s="68" t="s">
        <v>61</v>
      </c>
      <c r="J19" t="s">
        <v>1159</v>
      </c>
      <c r="N19" s="68"/>
      <c r="O19" s="107"/>
      <c r="P19" s="93" t="s">
        <v>61</v>
      </c>
    </row>
    <row r="20" spans="1:16" ht="12.75" customHeight="1" thickBot="1" x14ac:dyDescent="0.3">
      <c r="B20" s="156" t="s">
        <v>1154</v>
      </c>
      <c r="D20" s="633"/>
      <c r="E20" s="633"/>
      <c r="F20" s="633"/>
      <c r="G20" s="633"/>
      <c r="I20" s="68" t="s">
        <v>63</v>
      </c>
      <c r="J20" t="s">
        <v>1158</v>
      </c>
      <c r="N20" s="68"/>
      <c r="O20" s="636">
        <f>SUM(O6:O19)</f>
        <v>214706</v>
      </c>
      <c r="P20" s="93" t="s">
        <v>63</v>
      </c>
    </row>
    <row r="21" spans="1:16" ht="12.75" customHeight="1" thickTop="1" x14ac:dyDescent="0.25">
      <c r="B21" s="156" t="s">
        <v>1153</v>
      </c>
      <c r="D21" s="635">
        <v>12</v>
      </c>
      <c r="E21" s="635">
        <v>1708</v>
      </c>
      <c r="F21" s="635"/>
      <c r="G21" s="635"/>
      <c r="N21" s="68"/>
    </row>
    <row r="22" spans="1:16" ht="12.75" customHeight="1" x14ac:dyDescent="0.25">
      <c r="B22" s="634" t="s">
        <v>1157</v>
      </c>
      <c r="D22" s="85"/>
      <c r="E22" s="85"/>
      <c r="F22" s="85"/>
      <c r="G22" s="85"/>
      <c r="I22" t="s">
        <v>20</v>
      </c>
      <c r="M22" s="682" t="s">
        <v>1301</v>
      </c>
      <c r="N22" s="684"/>
      <c r="O22" s="682" t="s">
        <v>1302</v>
      </c>
    </row>
    <row r="23" spans="1:16" ht="12.75" customHeight="1" x14ac:dyDescent="0.25">
      <c r="B23" s="156" t="s">
        <v>1156</v>
      </c>
      <c r="D23" s="633">
        <v>3223</v>
      </c>
      <c r="E23" s="633">
        <v>23536</v>
      </c>
      <c r="F23" s="633"/>
      <c r="G23" s="633"/>
      <c r="H23" s="630"/>
      <c r="J23" s="617" t="s">
        <v>1155</v>
      </c>
      <c r="K23" s="617"/>
      <c r="L23" s="7" t="s">
        <v>16</v>
      </c>
      <c r="M23" s="29"/>
      <c r="N23" s="7" t="s">
        <v>16</v>
      </c>
      <c r="O23" s="29"/>
    </row>
    <row r="24" spans="1:16" ht="12.75" customHeight="1" x14ac:dyDescent="0.25">
      <c r="B24" s="156" t="s">
        <v>1154</v>
      </c>
      <c r="D24" s="633">
        <v>2</v>
      </c>
      <c r="E24" s="633">
        <v>2</v>
      </c>
      <c r="F24" s="633"/>
      <c r="G24" s="633"/>
      <c r="H24" s="630"/>
      <c r="L24" s="7"/>
      <c r="M24" s="31"/>
      <c r="N24" s="7"/>
      <c r="O24" s="31"/>
    </row>
    <row r="25" spans="1:16" ht="12.75" customHeight="1" x14ac:dyDescent="0.25">
      <c r="B25" s="156" t="s">
        <v>1153</v>
      </c>
      <c r="D25" s="632">
        <v>2</v>
      </c>
      <c r="E25" s="632">
        <v>84</v>
      </c>
      <c r="F25" s="632"/>
      <c r="G25" s="632"/>
      <c r="H25" s="570"/>
      <c r="N25" s="7"/>
      <c r="O25" s="630"/>
    </row>
    <row r="26" spans="1:16" ht="12.75" customHeight="1" x14ac:dyDescent="0.25">
      <c r="B26" s="631"/>
      <c r="H26" s="570"/>
      <c r="N26" s="7"/>
      <c r="O26" s="630"/>
    </row>
    <row r="27" spans="1:16" ht="12.75" customHeight="1" x14ac:dyDescent="0.25">
      <c r="B27" s="156" t="s">
        <v>1152</v>
      </c>
      <c r="H27" s="570"/>
      <c r="N27" s="7"/>
      <c r="O27" s="630"/>
    </row>
    <row r="28" spans="1:16" ht="12.75" customHeight="1" x14ac:dyDescent="0.25">
      <c r="J28" s="617" t="s">
        <v>1151</v>
      </c>
      <c r="K28" s="617"/>
      <c r="L28" s="629"/>
      <c r="M28" s="617"/>
      <c r="N28" s="617"/>
    </row>
    <row r="29" spans="1:16" ht="12.75" customHeight="1" x14ac:dyDescent="0.25">
      <c r="A29" s="617"/>
      <c r="B29" s="617" t="s">
        <v>1150</v>
      </c>
      <c r="C29" s="617"/>
      <c r="D29" s="627" t="s">
        <v>1149</v>
      </c>
      <c r="E29" s="627" t="s">
        <v>1148</v>
      </c>
      <c r="F29" s="628" t="s">
        <v>298</v>
      </c>
      <c r="G29" s="627" t="s">
        <v>1147</v>
      </c>
      <c r="H29" s="609"/>
      <c r="J29" s="626" t="s">
        <v>1146</v>
      </c>
      <c r="K29" s="162"/>
      <c r="L29" s="74"/>
      <c r="M29" s="74"/>
      <c r="N29" s="74"/>
      <c r="O29" s="623"/>
      <c r="P29" s="75"/>
    </row>
    <row r="30" spans="1:16" ht="12.75" customHeight="1" x14ac:dyDescent="0.25">
      <c r="B30" t="s">
        <v>1145</v>
      </c>
      <c r="D30" s="621"/>
      <c r="E30" s="621"/>
      <c r="F30" s="621"/>
      <c r="G30" s="625"/>
      <c r="H30" s="624"/>
      <c r="J30" s="158" t="s">
        <v>1144</v>
      </c>
      <c r="K30" s="156"/>
      <c r="O30" s="623"/>
      <c r="P30" s="80"/>
    </row>
    <row r="31" spans="1:16" ht="12.75" customHeight="1" x14ac:dyDescent="0.25">
      <c r="B31" t="s">
        <v>1143</v>
      </c>
      <c r="D31" s="621"/>
      <c r="E31" s="621"/>
      <c r="F31" s="621"/>
      <c r="G31" s="625"/>
      <c r="H31" s="620"/>
      <c r="J31" s="158" t="s">
        <v>1142</v>
      </c>
      <c r="K31" s="156"/>
      <c r="O31" s="623"/>
      <c r="P31" s="80"/>
    </row>
    <row r="32" spans="1:16" ht="12.75" customHeight="1" x14ac:dyDescent="0.25">
      <c r="B32" t="s">
        <v>1141</v>
      </c>
      <c r="D32" s="621"/>
      <c r="E32" s="621"/>
      <c r="F32" s="621"/>
      <c r="G32" s="625"/>
      <c r="H32" s="620"/>
      <c r="J32" s="158" t="s">
        <v>1140</v>
      </c>
      <c r="K32" s="156"/>
      <c r="O32" s="623"/>
      <c r="P32" s="80"/>
    </row>
    <row r="33" spans="1:16" ht="12.75" customHeight="1" x14ac:dyDescent="0.25">
      <c r="B33" t="s">
        <v>1139</v>
      </c>
      <c r="D33" s="621"/>
      <c r="E33" s="621"/>
      <c r="F33" s="621">
        <v>2.2000000000000002</v>
      </c>
      <c r="G33" s="621">
        <v>2.2000000000000002</v>
      </c>
      <c r="H33" s="624"/>
      <c r="J33" s="158" t="s">
        <v>1138</v>
      </c>
      <c r="K33" s="156"/>
      <c r="O33" s="623">
        <v>189542</v>
      </c>
      <c r="P33" s="80"/>
    </row>
    <row r="34" spans="1:16" ht="12.75" customHeight="1" x14ac:dyDescent="0.25">
      <c r="B34" t="s">
        <v>1137</v>
      </c>
      <c r="D34" s="621"/>
      <c r="E34" s="621"/>
      <c r="F34" s="621">
        <v>3.3</v>
      </c>
      <c r="G34" s="621">
        <v>3.6</v>
      </c>
      <c r="H34" s="620"/>
      <c r="J34" s="158" t="s">
        <v>1136</v>
      </c>
      <c r="K34" s="156"/>
      <c r="O34" s="622"/>
      <c r="P34" s="80"/>
    </row>
    <row r="35" spans="1:16" ht="12.75" customHeight="1" thickBot="1" x14ac:dyDescent="0.3">
      <c r="B35" t="s">
        <v>1135</v>
      </c>
      <c r="D35" s="621"/>
      <c r="E35" s="621"/>
      <c r="F35" s="621"/>
      <c r="G35" s="621"/>
      <c r="H35" s="620"/>
      <c r="J35" s="938" t="s">
        <v>1134</v>
      </c>
      <c r="K35" s="939"/>
      <c r="L35" s="939"/>
      <c r="M35" s="939"/>
      <c r="N35" s="619"/>
      <c r="O35" s="618">
        <f>SUM(O29:O34)</f>
        <v>189542</v>
      </c>
      <c r="P35" s="80"/>
    </row>
    <row r="36" spans="1:16" ht="12.75" customHeight="1" thickTop="1" x14ac:dyDescent="0.25">
      <c r="J36" s="941" t="s">
        <v>1133</v>
      </c>
      <c r="K36" s="942"/>
      <c r="L36" s="942"/>
      <c r="M36" s="6"/>
      <c r="N36" s="6"/>
      <c r="O36" s="6"/>
      <c r="P36" s="87"/>
    </row>
    <row r="37" spans="1:16" ht="12.75" customHeight="1" x14ac:dyDescent="0.25">
      <c r="A37" s="617"/>
      <c r="B37" s="617" t="s">
        <v>1132</v>
      </c>
      <c r="C37" s="617"/>
    </row>
    <row r="38" spans="1:16" ht="12.75" customHeight="1" x14ac:dyDescent="0.25">
      <c r="B38" t="s">
        <v>1131</v>
      </c>
      <c r="E38" s="615"/>
    </row>
    <row r="39" spans="1:16" ht="12.75" customHeight="1" x14ac:dyDescent="0.25">
      <c r="E39" s="7"/>
      <c r="F39" s="7"/>
      <c r="O39" s="31"/>
    </row>
    <row r="40" spans="1:16" ht="12.75" customHeight="1" x14ac:dyDescent="0.25">
      <c r="A40" s="617"/>
      <c r="B40" s="617" t="s">
        <v>1130</v>
      </c>
      <c r="C40" s="617"/>
      <c r="D40" s="617"/>
      <c r="E40" s="617"/>
      <c r="F40" s="7" t="s">
        <v>16</v>
      </c>
      <c r="G40" s="616">
        <v>15487</v>
      </c>
      <c r="I40" s="308"/>
      <c r="N40" s="7"/>
    </row>
    <row r="41" spans="1:16" ht="12.75" customHeight="1" x14ac:dyDescent="0.25">
      <c r="B41" t="s">
        <v>1129</v>
      </c>
      <c r="C41" s="8"/>
      <c r="D41" s="8"/>
      <c r="H41" s="177"/>
    </row>
    <row r="42" spans="1:16" ht="12.75" customHeight="1" x14ac:dyDescent="0.25"/>
    <row r="43" spans="1:16" ht="12.75" customHeight="1" x14ac:dyDescent="0.25">
      <c r="B43" t="s">
        <v>1128</v>
      </c>
    </row>
  </sheetData>
  <sheetProtection sheet="1" formatCells="0" formatColumns="0" formatRows="0"/>
  <mergeCells count="11">
    <mergeCell ref="J35:M35"/>
    <mergeCell ref="A3:P3"/>
    <mergeCell ref="A1:B1"/>
    <mergeCell ref="J36:L36"/>
    <mergeCell ref="I1:J1"/>
    <mergeCell ref="M1:N1"/>
    <mergeCell ref="C1:D1"/>
    <mergeCell ref="D16:D17"/>
    <mergeCell ref="E16:E17"/>
    <mergeCell ref="F16:F17"/>
    <mergeCell ref="G16:G17"/>
  </mergeCells>
  <conditionalFormatting sqref="J35:O35">
    <cfRule type="expression" dxfId="23" priority="1" stopIfTrue="1">
      <formula>$O$10&lt;&gt;$O$35</formula>
    </cfRule>
  </conditionalFormatting>
  <dataValidations count="1">
    <dataValidation operator="equal" allowBlank="1" showInputMessage="1" showErrorMessage="1" prompt="This cell will only accept entries equal to 9 digits. Charter schools must enter their CTD number plus 3 zeros" sqref="O1" xr:uid="{00000000-0002-0000-0000-000000000000}"/>
  </dataValidations>
  <hyperlinks>
    <hyperlink ref="B5" location="REVENUES" display="REVENUES" xr:uid="{9FE5F3C6-38E8-4836-B4D3-ADB1A1B76A37}"/>
    <hyperlink ref="B14:C14" location="SectionA" display="A.  Number of Operating Months" xr:uid="{1002D2A8-1A64-4FA5-8D76-90D94A050FAD}"/>
    <hyperlink ref="B17:C17" location="SectionB" display="B.  Number of Meals Served" xr:uid="{EEE46FEF-D8B9-48B3-9322-12D7CD22C59F}"/>
    <hyperlink ref="B29" location="SectionC" display="C.  Meal Prices" xr:uid="{ED07D071-0BB2-4E80-AC7A-9C22DE21DCE5}"/>
    <hyperlink ref="B37:C37" location="SectionD" display="D.  Special Milk Program" xr:uid="{57F5E729-F18F-49D4-B579-AE0C742856BA}"/>
    <hyperlink ref="B40:E40" location="SectionE" display="E.  State Equalization Assistance expended for Food Service, Function 3100" xr:uid="{19747CDD-FDC6-4ADC-98FA-C629AECE941A}"/>
    <hyperlink ref="D16:D17" location="Breakfasts" display="BREAKFASTS" xr:uid="{C0785B22-B826-47CE-9BC1-0D4F5A4BE837}"/>
    <hyperlink ref="E16:E17" location="LunchesSuppers" display="LUNCHES/ SUPPERS" xr:uid="{40B9F3AC-6CC4-4864-BF0D-58D8C7C0D26E}"/>
    <hyperlink ref="F16:F17" location="ALaCarte" display="A LA CARTE*" xr:uid="{564FC274-9177-4016-85EB-2F21CFDEED69}"/>
    <hyperlink ref="G16:G17" location="Snacks" display="SNACKS" xr:uid="{A37C040B-8A20-4DE8-AB07-6DAA0AF9F285}"/>
    <hyperlink ref="J5" location="EXPENSES" display="EXPENSES" xr:uid="{95BA9320-AF5E-45BE-80BB-264A9788DA3F}"/>
    <hyperlink ref="J23:K23" location="SectionF" display="F.  Cash Balances" xr:uid="{CD53EA32-9EF2-4F34-ABC1-707CF9FA9974}"/>
    <hyperlink ref="J28:N28" location="SectionG" display="G.  Detail of Food Service Management Company Expenses" xr:uid="{EAF89C95-88C8-4A80-92D8-DA9D45367944}"/>
    <hyperlink ref="B2" location="FoodServiceGen" display="Instructions" xr:uid="{6BB77C67-BA6E-4B2D-AC01-D12A5A0BDC9D}"/>
  </hyperlinks>
  <pageMargins left="0.7" right="0.7" top="0.75" bottom="0.75" header="0.3" footer="0.3"/>
  <pageSetup scale="74" orientation="landscape" r:id="rId1"/>
  <headerFooter>
    <oddFooter>&amp;LRev. 8/25 Arizona Department of Education and Auditor General&amp;CFY 2025</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B867-0CC5-4E99-81A6-5A4370B5E74C}">
  <sheetPr>
    <pageSetUpPr fitToPage="1"/>
  </sheetPr>
  <dimension ref="A1:N23"/>
  <sheetViews>
    <sheetView showGridLines="0" workbookViewId="0">
      <selection activeCell="D17" sqref="D17"/>
    </sheetView>
  </sheetViews>
  <sheetFormatPr defaultColWidth="9.33203125" defaultRowHeight="13.2" x14ac:dyDescent="0.25"/>
  <cols>
    <col min="1" max="1" width="38.21875" style="417" customWidth="1"/>
    <col min="2" max="3" width="16.33203125" style="417" customWidth="1"/>
    <col min="4" max="4" width="15.21875" style="417" customWidth="1"/>
    <col min="5" max="5" width="15.6640625" style="417" customWidth="1"/>
    <col min="6" max="6" width="15.21875" style="417" customWidth="1"/>
    <col min="7" max="7" width="16.33203125" style="417" customWidth="1"/>
    <col min="8" max="8" width="19.33203125" style="417" customWidth="1"/>
    <col min="9" max="10" width="15.6640625" style="417" customWidth="1"/>
    <col min="11" max="11" width="17" style="417" customWidth="1"/>
    <col min="12" max="12" width="8.77734375" style="417" customWidth="1"/>
    <col min="13" max="13" width="5.33203125" style="417" customWidth="1"/>
    <col min="14" max="14" width="12.33203125" style="417" customWidth="1"/>
    <col min="15" max="255" width="8.77734375" style="417" customWidth="1"/>
    <col min="256" max="256" width="32.33203125" style="417" bestFit="1" customWidth="1"/>
    <col min="257" max="257" width="22.21875" style="417" customWidth="1"/>
    <col min="258" max="258" width="14.33203125" style="417" customWidth="1"/>
    <col min="259" max="259" width="19" style="417" customWidth="1"/>
    <col min="260" max="260" width="8.77734375" style="417" customWidth="1"/>
    <col min="261" max="261" width="11.33203125" style="417" customWidth="1"/>
    <col min="262" max="262" width="8.77734375" style="417" customWidth="1"/>
    <col min="263" max="263" width="6.33203125" style="417" customWidth="1"/>
    <col min="264" max="264" width="14.33203125" style="417" customWidth="1"/>
    <col min="265" max="268" width="8.77734375" style="417" customWidth="1"/>
    <col min="269" max="269" width="17.77734375" style="417" customWidth="1"/>
    <col min="270" max="511" width="8.77734375" style="417" customWidth="1"/>
    <col min="512" max="512" width="32.33203125" style="417" bestFit="1" customWidth="1"/>
    <col min="513" max="513" width="22.21875" style="417" customWidth="1"/>
    <col min="514" max="514" width="14.33203125" style="417" customWidth="1"/>
    <col min="515" max="515" width="19" style="417" customWidth="1"/>
    <col min="516" max="516" width="8.77734375" style="417" customWidth="1"/>
    <col min="517" max="517" width="11.33203125" style="417" customWidth="1"/>
    <col min="518" max="518" width="8.77734375" style="417" customWidth="1"/>
    <col min="519" max="519" width="6.33203125" style="417" customWidth="1"/>
    <col min="520" max="520" width="14.33203125" style="417" customWidth="1"/>
    <col min="521" max="524" width="8.77734375" style="417" customWidth="1"/>
    <col min="525" max="525" width="17.77734375" style="417" customWidth="1"/>
    <col min="526" max="767" width="8.77734375" style="417" customWidth="1"/>
    <col min="768" max="768" width="32.33203125" style="417" bestFit="1" customWidth="1"/>
    <col min="769" max="769" width="22.21875" style="417" customWidth="1"/>
    <col min="770" max="770" width="14.33203125" style="417" customWidth="1"/>
    <col min="771" max="771" width="19" style="417" customWidth="1"/>
    <col min="772" max="772" width="8.77734375" style="417" customWidth="1"/>
    <col min="773" max="773" width="11.33203125" style="417" customWidth="1"/>
    <col min="774" max="774" width="8.77734375" style="417" customWidth="1"/>
    <col min="775" max="775" width="6.33203125" style="417" customWidth="1"/>
    <col min="776" max="776" width="14.33203125" style="417" customWidth="1"/>
    <col min="777" max="780" width="8.77734375" style="417" customWidth="1"/>
    <col min="781" max="781" width="17.77734375" style="417" customWidth="1"/>
    <col min="782" max="1023" width="8.77734375" style="417" customWidth="1"/>
    <col min="1024" max="1024" width="32.33203125" style="417" bestFit="1" customWidth="1"/>
    <col min="1025" max="1025" width="22.21875" style="417" customWidth="1"/>
    <col min="1026" max="1026" width="14.33203125" style="417" customWidth="1"/>
    <col min="1027" max="1027" width="19" style="417" customWidth="1"/>
    <col min="1028" max="1028" width="8.77734375" style="417" customWidth="1"/>
    <col min="1029" max="1029" width="11.33203125" style="417" customWidth="1"/>
    <col min="1030" max="1030" width="8.77734375" style="417" customWidth="1"/>
    <col min="1031" max="1031" width="6.33203125" style="417" customWidth="1"/>
    <col min="1032" max="1032" width="14.33203125" style="417" customWidth="1"/>
    <col min="1033" max="1036" width="8.77734375" style="417" customWidth="1"/>
    <col min="1037" max="1037" width="17.77734375" style="417" customWidth="1"/>
    <col min="1038" max="1279" width="8.77734375" style="417" customWidth="1"/>
    <col min="1280" max="1280" width="32.33203125" style="417" bestFit="1" customWidth="1"/>
    <col min="1281" max="1281" width="22.21875" style="417" customWidth="1"/>
    <col min="1282" max="1282" width="14.33203125" style="417" customWidth="1"/>
    <col min="1283" max="1283" width="19" style="417" customWidth="1"/>
    <col min="1284" max="1284" width="8.77734375" style="417" customWidth="1"/>
    <col min="1285" max="1285" width="11.33203125" style="417" customWidth="1"/>
    <col min="1286" max="1286" width="8.77734375" style="417" customWidth="1"/>
    <col min="1287" max="1287" width="6.33203125" style="417" customWidth="1"/>
    <col min="1288" max="1288" width="14.33203125" style="417" customWidth="1"/>
    <col min="1289" max="1292" width="8.77734375" style="417" customWidth="1"/>
    <col min="1293" max="1293" width="17.77734375" style="417" customWidth="1"/>
    <col min="1294" max="1535" width="8.77734375" style="417" customWidth="1"/>
    <col min="1536" max="1536" width="32.33203125" style="417" bestFit="1" customWidth="1"/>
    <col min="1537" max="1537" width="22.21875" style="417" customWidth="1"/>
    <col min="1538" max="1538" width="14.33203125" style="417" customWidth="1"/>
    <col min="1539" max="1539" width="19" style="417" customWidth="1"/>
    <col min="1540" max="1540" width="8.77734375" style="417" customWidth="1"/>
    <col min="1541" max="1541" width="11.33203125" style="417" customWidth="1"/>
    <col min="1542" max="1542" width="8.77734375" style="417" customWidth="1"/>
    <col min="1543" max="1543" width="6.33203125" style="417" customWidth="1"/>
    <col min="1544" max="1544" width="14.33203125" style="417" customWidth="1"/>
    <col min="1545" max="1548" width="8.77734375" style="417" customWidth="1"/>
    <col min="1549" max="1549" width="17.77734375" style="417" customWidth="1"/>
    <col min="1550" max="1791" width="8.77734375" style="417" customWidth="1"/>
    <col min="1792" max="1792" width="32.33203125" style="417" bestFit="1" customWidth="1"/>
    <col min="1793" max="1793" width="22.21875" style="417" customWidth="1"/>
    <col min="1794" max="1794" width="14.33203125" style="417" customWidth="1"/>
    <col min="1795" max="1795" width="19" style="417" customWidth="1"/>
    <col min="1796" max="1796" width="8.77734375" style="417" customWidth="1"/>
    <col min="1797" max="1797" width="11.33203125" style="417" customWidth="1"/>
    <col min="1798" max="1798" width="8.77734375" style="417" customWidth="1"/>
    <col min="1799" max="1799" width="6.33203125" style="417" customWidth="1"/>
    <col min="1800" max="1800" width="14.33203125" style="417" customWidth="1"/>
    <col min="1801" max="1804" width="8.77734375" style="417" customWidth="1"/>
    <col min="1805" max="1805" width="17.77734375" style="417" customWidth="1"/>
    <col min="1806" max="2047" width="8.77734375" style="417" customWidth="1"/>
    <col min="2048" max="2048" width="32.33203125" style="417" bestFit="1" customWidth="1"/>
    <col min="2049" max="2049" width="22.21875" style="417" customWidth="1"/>
    <col min="2050" max="2050" width="14.33203125" style="417" customWidth="1"/>
    <col min="2051" max="2051" width="19" style="417" customWidth="1"/>
    <col min="2052" max="2052" width="8.77734375" style="417" customWidth="1"/>
    <col min="2053" max="2053" width="11.33203125" style="417" customWidth="1"/>
    <col min="2054" max="2054" width="8.77734375" style="417" customWidth="1"/>
    <col min="2055" max="2055" width="6.33203125" style="417" customWidth="1"/>
    <col min="2056" max="2056" width="14.33203125" style="417" customWidth="1"/>
    <col min="2057" max="2060" width="8.77734375" style="417" customWidth="1"/>
    <col min="2061" max="2061" width="17.77734375" style="417" customWidth="1"/>
    <col min="2062" max="2303" width="8.77734375" style="417" customWidth="1"/>
    <col min="2304" max="2304" width="32.33203125" style="417" bestFit="1" customWidth="1"/>
    <col min="2305" max="2305" width="22.21875" style="417" customWidth="1"/>
    <col min="2306" max="2306" width="14.33203125" style="417" customWidth="1"/>
    <col min="2307" max="2307" width="19" style="417" customWidth="1"/>
    <col min="2308" max="2308" width="8.77734375" style="417" customWidth="1"/>
    <col min="2309" max="2309" width="11.33203125" style="417" customWidth="1"/>
    <col min="2310" max="2310" width="8.77734375" style="417" customWidth="1"/>
    <col min="2311" max="2311" width="6.33203125" style="417" customWidth="1"/>
    <col min="2312" max="2312" width="14.33203125" style="417" customWidth="1"/>
    <col min="2313" max="2316" width="8.77734375" style="417" customWidth="1"/>
    <col min="2317" max="2317" width="17.77734375" style="417" customWidth="1"/>
    <col min="2318" max="2559" width="8.77734375" style="417" customWidth="1"/>
    <col min="2560" max="2560" width="32.33203125" style="417" bestFit="1" customWidth="1"/>
    <col min="2561" max="2561" width="22.21875" style="417" customWidth="1"/>
    <col min="2562" max="2562" width="14.33203125" style="417" customWidth="1"/>
    <col min="2563" max="2563" width="19" style="417" customWidth="1"/>
    <col min="2564" max="2564" width="8.77734375" style="417" customWidth="1"/>
    <col min="2565" max="2565" width="11.33203125" style="417" customWidth="1"/>
    <col min="2566" max="2566" width="8.77734375" style="417" customWidth="1"/>
    <col min="2567" max="2567" width="6.33203125" style="417" customWidth="1"/>
    <col min="2568" max="2568" width="14.33203125" style="417" customWidth="1"/>
    <col min="2569" max="2572" width="8.77734375" style="417" customWidth="1"/>
    <col min="2573" max="2573" width="17.77734375" style="417" customWidth="1"/>
    <col min="2574" max="2815" width="8.77734375" style="417" customWidth="1"/>
    <col min="2816" max="2816" width="32.33203125" style="417" bestFit="1" customWidth="1"/>
    <col min="2817" max="2817" width="22.21875" style="417" customWidth="1"/>
    <col min="2818" max="2818" width="14.33203125" style="417" customWidth="1"/>
    <col min="2819" max="2819" width="19" style="417" customWidth="1"/>
    <col min="2820" max="2820" width="8.77734375" style="417" customWidth="1"/>
    <col min="2821" max="2821" width="11.33203125" style="417" customWidth="1"/>
    <col min="2822" max="2822" width="8.77734375" style="417" customWidth="1"/>
    <col min="2823" max="2823" width="6.33203125" style="417" customWidth="1"/>
    <col min="2824" max="2824" width="14.33203125" style="417" customWidth="1"/>
    <col min="2825" max="2828" width="8.77734375" style="417" customWidth="1"/>
    <col min="2829" max="2829" width="17.77734375" style="417" customWidth="1"/>
    <col min="2830" max="3071" width="8.77734375" style="417" customWidth="1"/>
    <col min="3072" max="3072" width="32.33203125" style="417" bestFit="1" customWidth="1"/>
    <col min="3073" max="3073" width="22.21875" style="417" customWidth="1"/>
    <col min="3074" max="3074" width="14.33203125" style="417" customWidth="1"/>
    <col min="3075" max="3075" width="19" style="417" customWidth="1"/>
    <col min="3076" max="3076" width="8.77734375" style="417" customWidth="1"/>
    <col min="3077" max="3077" width="11.33203125" style="417" customWidth="1"/>
    <col min="3078" max="3078" width="8.77734375" style="417" customWidth="1"/>
    <col min="3079" max="3079" width="6.33203125" style="417" customWidth="1"/>
    <col min="3080" max="3080" width="14.33203125" style="417" customWidth="1"/>
    <col min="3081" max="3084" width="8.77734375" style="417" customWidth="1"/>
    <col min="3085" max="3085" width="17.77734375" style="417" customWidth="1"/>
    <col min="3086" max="3327" width="8.77734375" style="417" customWidth="1"/>
    <col min="3328" max="3328" width="32.33203125" style="417" bestFit="1" customWidth="1"/>
    <col min="3329" max="3329" width="22.21875" style="417" customWidth="1"/>
    <col min="3330" max="3330" width="14.33203125" style="417" customWidth="1"/>
    <col min="3331" max="3331" width="19" style="417" customWidth="1"/>
    <col min="3332" max="3332" width="8.77734375" style="417" customWidth="1"/>
    <col min="3333" max="3333" width="11.33203125" style="417" customWidth="1"/>
    <col min="3334" max="3334" width="8.77734375" style="417" customWidth="1"/>
    <col min="3335" max="3335" width="6.33203125" style="417" customWidth="1"/>
    <col min="3336" max="3336" width="14.33203125" style="417" customWidth="1"/>
    <col min="3337" max="3340" width="8.77734375" style="417" customWidth="1"/>
    <col min="3341" max="3341" width="17.77734375" style="417" customWidth="1"/>
    <col min="3342" max="3583" width="8.77734375" style="417" customWidth="1"/>
    <col min="3584" max="3584" width="32.33203125" style="417" bestFit="1" customWidth="1"/>
    <col min="3585" max="3585" width="22.21875" style="417" customWidth="1"/>
    <col min="3586" max="3586" width="14.33203125" style="417" customWidth="1"/>
    <col min="3587" max="3587" width="19" style="417" customWidth="1"/>
    <col min="3588" max="3588" width="8.77734375" style="417" customWidth="1"/>
    <col min="3589" max="3589" width="11.33203125" style="417" customWidth="1"/>
    <col min="3590" max="3590" width="8.77734375" style="417" customWidth="1"/>
    <col min="3591" max="3591" width="6.33203125" style="417" customWidth="1"/>
    <col min="3592" max="3592" width="14.33203125" style="417" customWidth="1"/>
    <col min="3593" max="3596" width="8.77734375" style="417" customWidth="1"/>
    <col min="3597" max="3597" width="17.77734375" style="417" customWidth="1"/>
    <col min="3598" max="3839" width="8.77734375" style="417" customWidth="1"/>
    <col min="3840" max="3840" width="32.33203125" style="417" bestFit="1" customWidth="1"/>
    <col min="3841" max="3841" width="22.21875" style="417" customWidth="1"/>
    <col min="3842" max="3842" width="14.33203125" style="417" customWidth="1"/>
    <col min="3843" max="3843" width="19" style="417" customWidth="1"/>
    <col min="3844" max="3844" width="8.77734375" style="417" customWidth="1"/>
    <col min="3845" max="3845" width="11.33203125" style="417" customWidth="1"/>
    <col min="3846" max="3846" width="8.77734375" style="417" customWidth="1"/>
    <col min="3847" max="3847" width="6.33203125" style="417" customWidth="1"/>
    <col min="3848" max="3848" width="14.33203125" style="417" customWidth="1"/>
    <col min="3849" max="3852" width="8.77734375" style="417" customWidth="1"/>
    <col min="3853" max="3853" width="17.77734375" style="417" customWidth="1"/>
    <col min="3854" max="4095" width="8.77734375" style="417" customWidth="1"/>
    <col min="4096" max="4096" width="32.33203125" style="417" bestFit="1" customWidth="1"/>
    <col min="4097" max="4097" width="22.21875" style="417" customWidth="1"/>
    <col min="4098" max="4098" width="14.33203125" style="417" customWidth="1"/>
    <col min="4099" max="4099" width="19" style="417" customWidth="1"/>
    <col min="4100" max="4100" width="8.77734375" style="417" customWidth="1"/>
    <col min="4101" max="4101" width="11.33203125" style="417" customWidth="1"/>
    <col min="4102" max="4102" width="8.77734375" style="417" customWidth="1"/>
    <col min="4103" max="4103" width="6.33203125" style="417" customWidth="1"/>
    <col min="4104" max="4104" width="14.33203125" style="417" customWidth="1"/>
    <col min="4105" max="4108" width="8.77734375" style="417" customWidth="1"/>
    <col min="4109" max="4109" width="17.77734375" style="417" customWidth="1"/>
    <col min="4110" max="4351" width="8.77734375" style="417" customWidth="1"/>
    <col min="4352" max="4352" width="32.33203125" style="417" bestFit="1" customWidth="1"/>
    <col min="4353" max="4353" width="22.21875" style="417" customWidth="1"/>
    <col min="4354" max="4354" width="14.33203125" style="417" customWidth="1"/>
    <col min="4355" max="4355" width="19" style="417" customWidth="1"/>
    <col min="4356" max="4356" width="8.77734375" style="417" customWidth="1"/>
    <col min="4357" max="4357" width="11.33203125" style="417" customWidth="1"/>
    <col min="4358" max="4358" width="8.77734375" style="417" customWidth="1"/>
    <col min="4359" max="4359" width="6.33203125" style="417" customWidth="1"/>
    <col min="4360" max="4360" width="14.33203125" style="417" customWidth="1"/>
    <col min="4361" max="4364" width="8.77734375" style="417" customWidth="1"/>
    <col min="4365" max="4365" width="17.77734375" style="417" customWidth="1"/>
    <col min="4366" max="4607" width="8.77734375" style="417" customWidth="1"/>
    <col min="4608" max="4608" width="32.33203125" style="417" bestFit="1" customWidth="1"/>
    <col min="4609" max="4609" width="22.21875" style="417" customWidth="1"/>
    <col min="4610" max="4610" width="14.33203125" style="417" customWidth="1"/>
    <col min="4611" max="4611" width="19" style="417" customWidth="1"/>
    <col min="4612" max="4612" width="8.77734375" style="417" customWidth="1"/>
    <col min="4613" max="4613" width="11.33203125" style="417" customWidth="1"/>
    <col min="4614" max="4614" width="8.77734375" style="417" customWidth="1"/>
    <col min="4615" max="4615" width="6.33203125" style="417" customWidth="1"/>
    <col min="4616" max="4616" width="14.33203125" style="417" customWidth="1"/>
    <col min="4617" max="4620" width="8.77734375" style="417" customWidth="1"/>
    <col min="4621" max="4621" width="17.77734375" style="417" customWidth="1"/>
    <col min="4622" max="4863" width="8.77734375" style="417" customWidth="1"/>
    <col min="4864" max="4864" width="32.33203125" style="417" bestFit="1" customWidth="1"/>
    <col min="4865" max="4865" width="22.21875" style="417" customWidth="1"/>
    <col min="4866" max="4866" width="14.33203125" style="417" customWidth="1"/>
    <col min="4867" max="4867" width="19" style="417" customWidth="1"/>
    <col min="4868" max="4868" width="8.77734375" style="417" customWidth="1"/>
    <col min="4869" max="4869" width="11.33203125" style="417" customWidth="1"/>
    <col min="4870" max="4870" width="8.77734375" style="417" customWidth="1"/>
    <col min="4871" max="4871" width="6.33203125" style="417" customWidth="1"/>
    <col min="4872" max="4872" width="14.33203125" style="417" customWidth="1"/>
    <col min="4873" max="4876" width="8.77734375" style="417" customWidth="1"/>
    <col min="4877" max="4877" width="17.77734375" style="417" customWidth="1"/>
    <col min="4878" max="5119" width="8.77734375" style="417" customWidth="1"/>
    <col min="5120" max="5120" width="32.33203125" style="417" bestFit="1" customWidth="1"/>
    <col min="5121" max="5121" width="22.21875" style="417" customWidth="1"/>
    <col min="5122" max="5122" width="14.33203125" style="417" customWidth="1"/>
    <col min="5123" max="5123" width="19" style="417" customWidth="1"/>
    <col min="5124" max="5124" width="8.77734375" style="417" customWidth="1"/>
    <col min="5125" max="5125" width="11.33203125" style="417" customWidth="1"/>
    <col min="5126" max="5126" width="8.77734375" style="417" customWidth="1"/>
    <col min="5127" max="5127" width="6.33203125" style="417" customWidth="1"/>
    <col min="5128" max="5128" width="14.33203125" style="417" customWidth="1"/>
    <col min="5129" max="5132" width="8.77734375" style="417" customWidth="1"/>
    <col min="5133" max="5133" width="17.77734375" style="417" customWidth="1"/>
    <col min="5134" max="5375" width="8.77734375" style="417" customWidth="1"/>
    <col min="5376" max="5376" width="32.33203125" style="417" bestFit="1" customWidth="1"/>
    <col min="5377" max="5377" width="22.21875" style="417" customWidth="1"/>
    <col min="5378" max="5378" width="14.33203125" style="417" customWidth="1"/>
    <col min="5379" max="5379" width="19" style="417" customWidth="1"/>
    <col min="5380" max="5380" width="8.77734375" style="417" customWidth="1"/>
    <col min="5381" max="5381" width="11.33203125" style="417" customWidth="1"/>
    <col min="5382" max="5382" width="8.77734375" style="417" customWidth="1"/>
    <col min="5383" max="5383" width="6.33203125" style="417" customWidth="1"/>
    <col min="5384" max="5384" width="14.33203125" style="417" customWidth="1"/>
    <col min="5385" max="5388" width="8.77734375" style="417" customWidth="1"/>
    <col min="5389" max="5389" width="17.77734375" style="417" customWidth="1"/>
    <col min="5390" max="5631" width="8.77734375" style="417" customWidth="1"/>
    <col min="5632" max="5632" width="32.33203125" style="417" bestFit="1" customWidth="1"/>
    <col min="5633" max="5633" width="22.21875" style="417" customWidth="1"/>
    <col min="5634" max="5634" width="14.33203125" style="417" customWidth="1"/>
    <col min="5635" max="5635" width="19" style="417" customWidth="1"/>
    <col min="5636" max="5636" width="8.77734375" style="417" customWidth="1"/>
    <col min="5637" max="5637" width="11.33203125" style="417" customWidth="1"/>
    <col min="5638" max="5638" width="8.77734375" style="417" customWidth="1"/>
    <col min="5639" max="5639" width="6.33203125" style="417" customWidth="1"/>
    <col min="5640" max="5640" width="14.33203125" style="417" customWidth="1"/>
    <col min="5641" max="5644" width="8.77734375" style="417" customWidth="1"/>
    <col min="5645" max="5645" width="17.77734375" style="417" customWidth="1"/>
    <col min="5646" max="5887" width="8.77734375" style="417" customWidth="1"/>
    <col min="5888" max="5888" width="32.33203125" style="417" bestFit="1" customWidth="1"/>
    <col min="5889" max="5889" width="22.21875" style="417" customWidth="1"/>
    <col min="5890" max="5890" width="14.33203125" style="417" customWidth="1"/>
    <col min="5891" max="5891" width="19" style="417" customWidth="1"/>
    <col min="5892" max="5892" width="8.77734375" style="417" customWidth="1"/>
    <col min="5893" max="5893" width="11.33203125" style="417" customWidth="1"/>
    <col min="5894" max="5894" width="8.77734375" style="417" customWidth="1"/>
    <col min="5895" max="5895" width="6.33203125" style="417" customWidth="1"/>
    <col min="5896" max="5896" width="14.33203125" style="417" customWidth="1"/>
    <col min="5897" max="5900" width="8.77734375" style="417" customWidth="1"/>
    <col min="5901" max="5901" width="17.77734375" style="417" customWidth="1"/>
    <col min="5902" max="6143" width="8.77734375" style="417" customWidth="1"/>
    <col min="6144" max="6144" width="32.33203125" style="417" bestFit="1" customWidth="1"/>
    <col min="6145" max="6145" width="22.21875" style="417" customWidth="1"/>
    <col min="6146" max="6146" width="14.33203125" style="417" customWidth="1"/>
    <col min="6147" max="6147" width="19" style="417" customWidth="1"/>
    <col min="6148" max="6148" width="8.77734375" style="417" customWidth="1"/>
    <col min="6149" max="6149" width="11.33203125" style="417" customWidth="1"/>
    <col min="6150" max="6150" width="8.77734375" style="417" customWidth="1"/>
    <col min="6151" max="6151" width="6.33203125" style="417" customWidth="1"/>
    <col min="6152" max="6152" width="14.33203125" style="417" customWidth="1"/>
    <col min="6153" max="6156" width="8.77734375" style="417" customWidth="1"/>
    <col min="6157" max="6157" width="17.77734375" style="417" customWidth="1"/>
    <col min="6158" max="6399" width="8.77734375" style="417" customWidth="1"/>
    <col min="6400" max="6400" width="32.33203125" style="417" bestFit="1" customWidth="1"/>
    <col min="6401" max="6401" width="22.21875" style="417" customWidth="1"/>
    <col min="6402" max="6402" width="14.33203125" style="417" customWidth="1"/>
    <col min="6403" max="6403" width="19" style="417" customWidth="1"/>
    <col min="6404" max="6404" width="8.77734375" style="417" customWidth="1"/>
    <col min="6405" max="6405" width="11.33203125" style="417" customWidth="1"/>
    <col min="6406" max="6406" width="8.77734375" style="417" customWidth="1"/>
    <col min="6407" max="6407" width="6.33203125" style="417" customWidth="1"/>
    <col min="6408" max="6408" width="14.33203125" style="417" customWidth="1"/>
    <col min="6409" max="6412" width="8.77734375" style="417" customWidth="1"/>
    <col min="6413" max="6413" width="17.77734375" style="417" customWidth="1"/>
    <col min="6414" max="6655" width="8.77734375" style="417" customWidth="1"/>
    <col min="6656" max="6656" width="32.33203125" style="417" bestFit="1" customWidth="1"/>
    <col min="6657" max="6657" width="22.21875" style="417" customWidth="1"/>
    <col min="6658" max="6658" width="14.33203125" style="417" customWidth="1"/>
    <col min="6659" max="6659" width="19" style="417" customWidth="1"/>
    <col min="6660" max="6660" width="8.77734375" style="417" customWidth="1"/>
    <col min="6661" max="6661" width="11.33203125" style="417" customWidth="1"/>
    <col min="6662" max="6662" width="8.77734375" style="417" customWidth="1"/>
    <col min="6663" max="6663" width="6.33203125" style="417" customWidth="1"/>
    <col min="6664" max="6664" width="14.33203125" style="417" customWidth="1"/>
    <col min="6665" max="6668" width="8.77734375" style="417" customWidth="1"/>
    <col min="6669" max="6669" width="17.77734375" style="417" customWidth="1"/>
    <col min="6670" max="6911" width="8.77734375" style="417" customWidth="1"/>
    <col min="6912" max="6912" width="32.33203125" style="417" bestFit="1" customWidth="1"/>
    <col min="6913" max="6913" width="22.21875" style="417" customWidth="1"/>
    <col min="6914" max="6914" width="14.33203125" style="417" customWidth="1"/>
    <col min="6915" max="6915" width="19" style="417" customWidth="1"/>
    <col min="6916" max="6916" width="8.77734375" style="417" customWidth="1"/>
    <col min="6917" max="6917" width="11.33203125" style="417" customWidth="1"/>
    <col min="6918" max="6918" width="8.77734375" style="417" customWidth="1"/>
    <col min="6919" max="6919" width="6.33203125" style="417" customWidth="1"/>
    <col min="6920" max="6920" width="14.33203125" style="417" customWidth="1"/>
    <col min="6921" max="6924" width="8.77734375" style="417" customWidth="1"/>
    <col min="6925" max="6925" width="17.77734375" style="417" customWidth="1"/>
    <col min="6926" max="7167" width="8.77734375" style="417" customWidth="1"/>
    <col min="7168" max="7168" width="32.33203125" style="417" bestFit="1" customWidth="1"/>
    <col min="7169" max="7169" width="22.21875" style="417" customWidth="1"/>
    <col min="7170" max="7170" width="14.33203125" style="417" customWidth="1"/>
    <col min="7171" max="7171" width="19" style="417" customWidth="1"/>
    <col min="7172" max="7172" width="8.77734375" style="417" customWidth="1"/>
    <col min="7173" max="7173" width="11.33203125" style="417" customWidth="1"/>
    <col min="7174" max="7174" width="8.77734375" style="417" customWidth="1"/>
    <col min="7175" max="7175" width="6.33203125" style="417" customWidth="1"/>
    <col min="7176" max="7176" width="14.33203125" style="417" customWidth="1"/>
    <col min="7177" max="7180" width="8.77734375" style="417" customWidth="1"/>
    <col min="7181" max="7181" width="17.77734375" style="417" customWidth="1"/>
    <col min="7182" max="7423" width="8.77734375" style="417" customWidth="1"/>
    <col min="7424" max="7424" width="32.33203125" style="417" bestFit="1" customWidth="1"/>
    <col min="7425" max="7425" width="22.21875" style="417" customWidth="1"/>
    <col min="7426" max="7426" width="14.33203125" style="417" customWidth="1"/>
    <col min="7427" max="7427" width="19" style="417" customWidth="1"/>
    <col min="7428" max="7428" width="8.77734375" style="417" customWidth="1"/>
    <col min="7429" max="7429" width="11.33203125" style="417" customWidth="1"/>
    <col min="7430" max="7430" width="8.77734375" style="417" customWidth="1"/>
    <col min="7431" max="7431" width="6.33203125" style="417" customWidth="1"/>
    <col min="7432" max="7432" width="14.33203125" style="417" customWidth="1"/>
    <col min="7433" max="7436" width="8.77734375" style="417" customWidth="1"/>
    <col min="7437" max="7437" width="17.77734375" style="417" customWidth="1"/>
    <col min="7438" max="7679" width="8.77734375" style="417" customWidth="1"/>
    <col min="7680" max="7680" width="32.33203125" style="417" bestFit="1" customWidth="1"/>
    <col min="7681" max="7681" width="22.21875" style="417" customWidth="1"/>
    <col min="7682" max="7682" width="14.33203125" style="417" customWidth="1"/>
    <col min="7683" max="7683" width="19" style="417" customWidth="1"/>
    <col min="7684" max="7684" width="8.77734375" style="417" customWidth="1"/>
    <col min="7685" max="7685" width="11.33203125" style="417" customWidth="1"/>
    <col min="7686" max="7686" width="8.77734375" style="417" customWidth="1"/>
    <col min="7687" max="7687" width="6.33203125" style="417" customWidth="1"/>
    <col min="7688" max="7688" width="14.33203125" style="417" customWidth="1"/>
    <col min="7689" max="7692" width="8.77734375" style="417" customWidth="1"/>
    <col min="7693" max="7693" width="17.77734375" style="417" customWidth="1"/>
    <col min="7694" max="7935" width="8.77734375" style="417" customWidth="1"/>
    <col min="7936" max="7936" width="32.33203125" style="417" bestFit="1" customWidth="1"/>
    <col min="7937" max="7937" width="22.21875" style="417" customWidth="1"/>
    <col min="7938" max="7938" width="14.33203125" style="417" customWidth="1"/>
    <col min="7939" max="7939" width="19" style="417" customWidth="1"/>
    <col min="7940" max="7940" width="8.77734375" style="417" customWidth="1"/>
    <col min="7941" max="7941" width="11.33203125" style="417" customWidth="1"/>
    <col min="7942" max="7942" width="8.77734375" style="417" customWidth="1"/>
    <col min="7943" max="7943" width="6.33203125" style="417" customWidth="1"/>
    <col min="7944" max="7944" width="14.33203125" style="417" customWidth="1"/>
    <col min="7945" max="7948" width="8.77734375" style="417" customWidth="1"/>
    <col min="7949" max="7949" width="17.77734375" style="417" customWidth="1"/>
    <col min="7950" max="8191" width="8.77734375" style="417" customWidth="1"/>
    <col min="8192" max="8192" width="32.33203125" style="417" bestFit="1" customWidth="1"/>
    <col min="8193" max="8193" width="22.21875" style="417" customWidth="1"/>
    <col min="8194" max="8194" width="14.33203125" style="417" customWidth="1"/>
    <col min="8195" max="8195" width="19" style="417" customWidth="1"/>
    <col min="8196" max="8196" width="8.77734375" style="417" customWidth="1"/>
    <col min="8197" max="8197" width="11.33203125" style="417" customWidth="1"/>
    <col min="8198" max="8198" width="8.77734375" style="417" customWidth="1"/>
    <col min="8199" max="8199" width="6.33203125" style="417" customWidth="1"/>
    <col min="8200" max="8200" width="14.33203125" style="417" customWidth="1"/>
    <col min="8201" max="8204" width="8.77734375" style="417" customWidth="1"/>
    <col min="8205" max="8205" width="17.77734375" style="417" customWidth="1"/>
    <col min="8206" max="8447" width="8.77734375" style="417" customWidth="1"/>
    <col min="8448" max="8448" width="32.33203125" style="417" bestFit="1" customWidth="1"/>
    <col min="8449" max="8449" width="22.21875" style="417" customWidth="1"/>
    <col min="8450" max="8450" width="14.33203125" style="417" customWidth="1"/>
    <col min="8451" max="8451" width="19" style="417" customWidth="1"/>
    <col min="8452" max="8452" width="8.77734375" style="417" customWidth="1"/>
    <col min="8453" max="8453" width="11.33203125" style="417" customWidth="1"/>
    <col min="8454" max="8454" width="8.77734375" style="417" customWidth="1"/>
    <col min="8455" max="8455" width="6.33203125" style="417" customWidth="1"/>
    <col min="8456" max="8456" width="14.33203125" style="417" customWidth="1"/>
    <col min="8457" max="8460" width="8.77734375" style="417" customWidth="1"/>
    <col min="8461" max="8461" width="17.77734375" style="417" customWidth="1"/>
    <col min="8462" max="8703" width="8.77734375" style="417" customWidth="1"/>
    <col min="8704" max="8704" width="32.33203125" style="417" bestFit="1" customWidth="1"/>
    <col min="8705" max="8705" width="22.21875" style="417" customWidth="1"/>
    <col min="8706" max="8706" width="14.33203125" style="417" customWidth="1"/>
    <col min="8707" max="8707" width="19" style="417" customWidth="1"/>
    <col min="8708" max="8708" width="8.77734375" style="417" customWidth="1"/>
    <col min="8709" max="8709" width="11.33203125" style="417" customWidth="1"/>
    <col min="8710" max="8710" width="8.77734375" style="417" customWidth="1"/>
    <col min="8711" max="8711" width="6.33203125" style="417" customWidth="1"/>
    <col min="8712" max="8712" width="14.33203125" style="417" customWidth="1"/>
    <col min="8713" max="8716" width="8.77734375" style="417" customWidth="1"/>
    <col min="8717" max="8717" width="17.77734375" style="417" customWidth="1"/>
    <col min="8718" max="8959" width="8.77734375" style="417" customWidth="1"/>
    <col min="8960" max="8960" width="32.33203125" style="417" bestFit="1" customWidth="1"/>
    <col min="8961" max="8961" width="22.21875" style="417" customWidth="1"/>
    <col min="8962" max="8962" width="14.33203125" style="417" customWidth="1"/>
    <col min="8963" max="8963" width="19" style="417" customWidth="1"/>
    <col min="8964" max="8964" width="8.77734375" style="417" customWidth="1"/>
    <col min="8965" max="8965" width="11.33203125" style="417" customWidth="1"/>
    <col min="8966" max="8966" width="8.77734375" style="417" customWidth="1"/>
    <col min="8967" max="8967" width="6.33203125" style="417" customWidth="1"/>
    <col min="8968" max="8968" width="14.33203125" style="417" customWidth="1"/>
    <col min="8969" max="8972" width="8.77734375" style="417" customWidth="1"/>
    <col min="8973" max="8973" width="17.77734375" style="417" customWidth="1"/>
    <col min="8974" max="9215" width="8.77734375" style="417" customWidth="1"/>
    <col min="9216" max="9216" width="32.33203125" style="417" bestFit="1" customWidth="1"/>
    <col min="9217" max="9217" width="22.21875" style="417" customWidth="1"/>
    <col min="9218" max="9218" width="14.33203125" style="417" customWidth="1"/>
    <col min="9219" max="9219" width="19" style="417" customWidth="1"/>
    <col min="9220" max="9220" width="8.77734375" style="417" customWidth="1"/>
    <col min="9221" max="9221" width="11.33203125" style="417" customWidth="1"/>
    <col min="9222" max="9222" width="8.77734375" style="417" customWidth="1"/>
    <col min="9223" max="9223" width="6.33203125" style="417" customWidth="1"/>
    <col min="9224" max="9224" width="14.33203125" style="417" customWidth="1"/>
    <col min="9225" max="9228" width="8.77734375" style="417" customWidth="1"/>
    <col min="9229" max="9229" width="17.77734375" style="417" customWidth="1"/>
    <col min="9230" max="9471" width="8.77734375" style="417" customWidth="1"/>
    <col min="9472" max="9472" width="32.33203125" style="417" bestFit="1" customWidth="1"/>
    <col min="9473" max="9473" width="22.21875" style="417" customWidth="1"/>
    <col min="9474" max="9474" width="14.33203125" style="417" customWidth="1"/>
    <col min="9475" max="9475" width="19" style="417" customWidth="1"/>
    <col min="9476" max="9476" width="8.77734375" style="417" customWidth="1"/>
    <col min="9477" max="9477" width="11.33203125" style="417" customWidth="1"/>
    <col min="9478" max="9478" width="8.77734375" style="417" customWidth="1"/>
    <col min="9479" max="9479" width="6.33203125" style="417" customWidth="1"/>
    <col min="9480" max="9480" width="14.33203125" style="417" customWidth="1"/>
    <col min="9481" max="9484" width="8.77734375" style="417" customWidth="1"/>
    <col min="9485" max="9485" width="17.77734375" style="417" customWidth="1"/>
    <col min="9486" max="9727" width="8.77734375" style="417" customWidth="1"/>
    <col min="9728" max="9728" width="32.33203125" style="417" bestFit="1" customWidth="1"/>
    <col min="9729" max="9729" width="22.21875" style="417" customWidth="1"/>
    <col min="9730" max="9730" width="14.33203125" style="417" customWidth="1"/>
    <col min="9731" max="9731" width="19" style="417" customWidth="1"/>
    <col min="9732" max="9732" width="8.77734375" style="417" customWidth="1"/>
    <col min="9733" max="9733" width="11.33203125" style="417" customWidth="1"/>
    <col min="9734" max="9734" width="8.77734375" style="417" customWidth="1"/>
    <col min="9735" max="9735" width="6.33203125" style="417" customWidth="1"/>
    <col min="9736" max="9736" width="14.33203125" style="417" customWidth="1"/>
    <col min="9737" max="9740" width="8.77734375" style="417" customWidth="1"/>
    <col min="9741" max="9741" width="17.77734375" style="417" customWidth="1"/>
    <col min="9742" max="9983" width="8.77734375" style="417" customWidth="1"/>
    <col min="9984" max="9984" width="32.33203125" style="417" bestFit="1" customWidth="1"/>
    <col min="9985" max="9985" width="22.21875" style="417" customWidth="1"/>
    <col min="9986" max="9986" width="14.33203125" style="417" customWidth="1"/>
    <col min="9987" max="9987" width="19" style="417" customWidth="1"/>
    <col min="9988" max="9988" width="8.77734375" style="417" customWidth="1"/>
    <col min="9989" max="9989" width="11.33203125" style="417" customWidth="1"/>
    <col min="9990" max="9990" width="8.77734375" style="417" customWidth="1"/>
    <col min="9991" max="9991" width="6.33203125" style="417" customWidth="1"/>
    <col min="9992" max="9992" width="14.33203125" style="417" customWidth="1"/>
    <col min="9993" max="9996" width="8.77734375" style="417" customWidth="1"/>
    <col min="9997" max="9997" width="17.77734375" style="417" customWidth="1"/>
    <col min="9998" max="10239" width="8.77734375" style="417" customWidth="1"/>
    <col min="10240" max="10240" width="32.33203125" style="417" bestFit="1" customWidth="1"/>
    <col min="10241" max="10241" width="22.21875" style="417" customWidth="1"/>
    <col min="10242" max="10242" width="14.33203125" style="417" customWidth="1"/>
    <col min="10243" max="10243" width="19" style="417" customWidth="1"/>
    <col min="10244" max="10244" width="8.77734375" style="417" customWidth="1"/>
    <col min="10245" max="10245" width="11.33203125" style="417" customWidth="1"/>
    <col min="10246" max="10246" width="8.77734375" style="417" customWidth="1"/>
    <col min="10247" max="10247" width="6.33203125" style="417" customWidth="1"/>
    <col min="10248" max="10248" width="14.33203125" style="417" customWidth="1"/>
    <col min="10249" max="10252" width="8.77734375" style="417" customWidth="1"/>
    <col min="10253" max="10253" width="17.77734375" style="417" customWidth="1"/>
    <col min="10254" max="10495" width="8.77734375" style="417" customWidth="1"/>
    <col min="10496" max="10496" width="32.33203125" style="417" bestFit="1" customWidth="1"/>
    <col min="10497" max="10497" width="22.21875" style="417" customWidth="1"/>
    <col min="10498" max="10498" width="14.33203125" style="417" customWidth="1"/>
    <col min="10499" max="10499" width="19" style="417" customWidth="1"/>
    <col min="10500" max="10500" width="8.77734375" style="417" customWidth="1"/>
    <col min="10501" max="10501" width="11.33203125" style="417" customWidth="1"/>
    <col min="10502" max="10502" width="8.77734375" style="417" customWidth="1"/>
    <col min="10503" max="10503" width="6.33203125" style="417" customWidth="1"/>
    <col min="10504" max="10504" width="14.33203125" style="417" customWidth="1"/>
    <col min="10505" max="10508" width="8.77734375" style="417" customWidth="1"/>
    <col min="10509" max="10509" width="17.77734375" style="417" customWidth="1"/>
    <col min="10510" max="10751" width="8.77734375" style="417" customWidth="1"/>
    <col min="10752" max="10752" width="32.33203125" style="417" bestFit="1" customWidth="1"/>
    <col min="10753" max="10753" width="22.21875" style="417" customWidth="1"/>
    <col min="10754" max="10754" width="14.33203125" style="417" customWidth="1"/>
    <col min="10755" max="10755" width="19" style="417" customWidth="1"/>
    <col min="10756" max="10756" width="8.77734375" style="417" customWidth="1"/>
    <col min="10757" max="10757" width="11.33203125" style="417" customWidth="1"/>
    <col min="10758" max="10758" width="8.77734375" style="417" customWidth="1"/>
    <col min="10759" max="10759" width="6.33203125" style="417" customWidth="1"/>
    <col min="10760" max="10760" width="14.33203125" style="417" customWidth="1"/>
    <col min="10761" max="10764" width="8.77734375" style="417" customWidth="1"/>
    <col min="10765" max="10765" width="17.77734375" style="417" customWidth="1"/>
    <col min="10766" max="11007" width="8.77734375" style="417" customWidth="1"/>
    <col min="11008" max="11008" width="32.33203125" style="417" bestFit="1" customWidth="1"/>
    <col min="11009" max="11009" width="22.21875" style="417" customWidth="1"/>
    <col min="11010" max="11010" width="14.33203125" style="417" customWidth="1"/>
    <col min="11011" max="11011" width="19" style="417" customWidth="1"/>
    <col min="11012" max="11012" width="8.77734375" style="417" customWidth="1"/>
    <col min="11013" max="11013" width="11.33203125" style="417" customWidth="1"/>
    <col min="11014" max="11014" width="8.77734375" style="417" customWidth="1"/>
    <col min="11015" max="11015" width="6.33203125" style="417" customWidth="1"/>
    <col min="11016" max="11016" width="14.33203125" style="417" customWidth="1"/>
    <col min="11017" max="11020" width="8.77734375" style="417" customWidth="1"/>
    <col min="11021" max="11021" width="17.77734375" style="417" customWidth="1"/>
    <col min="11022" max="11263" width="8.77734375" style="417" customWidth="1"/>
    <col min="11264" max="11264" width="32.33203125" style="417" bestFit="1" customWidth="1"/>
    <col min="11265" max="11265" width="22.21875" style="417" customWidth="1"/>
    <col min="11266" max="11266" width="14.33203125" style="417" customWidth="1"/>
    <col min="11267" max="11267" width="19" style="417" customWidth="1"/>
    <col min="11268" max="11268" width="8.77734375" style="417" customWidth="1"/>
    <col min="11269" max="11269" width="11.33203125" style="417" customWidth="1"/>
    <col min="11270" max="11270" width="8.77734375" style="417" customWidth="1"/>
    <col min="11271" max="11271" width="6.33203125" style="417" customWidth="1"/>
    <col min="11272" max="11272" width="14.33203125" style="417" customWidth="1"/>
    <col min="11273" max="11276" width="8.77734375" style="417" customWidth="1"/>
    <col min="11277" max="11277" width="17.77734375" style="417" customWidth="1"/>
    <col min="11278" max="11519" width="8.77734375" style="417" customWidth="1"/>
    <col min="11520" max="11520" width="32.33203125" style="417" bestFit="1" customWidth="1"/>
    <col min="11521" max="11521" width="22.21875" style="417" customWidth="1"/>
    <col min="11522" max="11522" width="14.33203125" style="417" customWidth="1"/>
    <col min="11523" max="11523" width="19" style="417" customWidth="1"/>
    <col min="11524" max="11524" width="8.77734375" style="417" customWidth="1"/>
    <col min="11525" max="11525" width="11.33203125" style="417" customWidth="1"/>
    <col min="11526" max="11526" width="8.77734375" style="417" customWidth="1"/>
    <col min="11527" max="11527" width="6.33203125" style="417" customWidth="1"/>
    <col min="11528" max="11528" width="14.33203125" style="417" customWidth="1"/>
    <col min="11529" max="11532" width="8.77734375" style="417" customWidth="1"/>
    <col min="11533" max="11533" width="17.77734375" style="417" customWidth="1"/>
    <col min="11534" max="11775" width="8.77734375" style="417" customWidth="1"/>
    <col min="11776" max="11776" width="32.33203125" style="417" bestFit="1" customWidth="1"/>
    <col min="11777" max="11777" width="22.21875" style="417" customWidth="1"/>
    <col min="11778" max="11778" width="14.33203125" style="417" customWidth="1"/>
    <col min="11779" max="11779" width="19" style="417" customWidth="1"/>
    <col min="11780" max="11780" width="8.77734375" style="417" customWidth="1"/>
    <col min="11781" max="11781" width="11.33203125" style="417" customWidth="1"/>
    <col min="11782" max="11782" width="8.77734375" style="417" customWidth="1"/>
    <col min="11783" max="11783" width="6.33203125" style="417" customWidth="1"/>
    <col min="11784" max="11784" width="14.33203125" style="417" customWidth="1"/>
    <col min="11785" max="11788" width="8.77734375" style="417" customWidth="1"/>
    <col min="11789" max="11789" width="17.77734375" style="417" customWidth="1"/>
    <col min="11790" max="12031" width="8.77734375" style="417" customWidth="1"/>
    <col min="12032" max="12032" width="32.33203125" style="417" bestFit="1" customWidth="1"/>
    <col min="12033" max="12033" width="22.21875" style="417" customWidth="1"/>
    <col min="12034" max="12034" width="14.33203125" style="417" customWidth="1"/>
    <col min="12035" max="12035" width="19" style="417" customWidth="1"/>
    <col min="12036" max="12036" width="8.77734375" style="417" customWidth="1"/>
    <col min="12037" max="12037" width="11.33203125" style="417" customWidth="1"/>
    <col min="12038" max="12038" width="8.77734375" style="417" customWidth="1"/>
    <col min="12039" max="12039" width="6.33203125" style="417" customWidth="1"/>
    <col min="12040" max="12040" width="14.33203125" style="417" customWidth="1"/>
    <col min="12041" max="12044" width="8.77734375" style="417" customWidth="1"/>
    <col min="12045" max="12045" width="17.77734375" style="417" customWidth="1"/>
    <col min="12046" max="12287" width="8.77734375" style="417" customWidth="1"/>
    <col min="12288" max="12288" width="32.33203125" style="417" bestFit="1" customWidth="1"/>
    <col min="12289" max="12289" width="22.21875" style="417" customWidth="1"/>
    <col min="12290" max="12290" width="14.33203125" style="417" customWidth="1"/>
    <col min="12291" max="12291" width="19" style="417" customWidth="1"/>
    <col min="12292" max="12292" width="8.77734375" style="417" customWidth="1"/>
    <col min="12293" max="12293" width="11.33203125" style="417" customWidth="1"/>
    <col min="12294" max="12294" width="8.77734375" style="417" customWidth="1"/>
    <col min="12295" max="12295" width="6.33203125" style="417" customWidth="1"/>
    <col min="12296" max="12296" width="14.33203125" style="417" customWidth="1"/>
    <col min="12297" max="12300" width="8.77734375" style="417" customWidth="1"/>
    <col min="12301" max="12301" width="17.77734375" style="417" customWidth="1"/>
    <col min="12302" max="12543" width="8.77734375" style="417" customWidth="1"/>
    <col min="12544" max="12544" width="32.33203125" style="417" bestFit="1" customWidth="1"/>
    <col min="12545" max="12545" width="22.21875" style="417" customWidth="1"/>
    <col min="12546" max="12546" width="14.33203125" style="417" customWidth="1"/>
    <col min="12547" max="12547" width="19" style="417" customWidth="1"/>
    <col min="12548" max="12548" width="8.77734375" style="417" customWidth="1"/>
    <col min="12549" max="12549" width="11.33203125" style="417" customWidth="1"/>
    <col min="12550" max="12550" width="8.77734375" style="417" customWidth="1"/>
    <col min="12551" max="12551" width="6.33203125" style="417" customWidth="1"/>
    <col min="12552" max="12552" width="14.33203125" style="417" customWidth="1"/>
    <col min="12553" max="12556" width="8.77734375" style="417" customWidth="1"/>
    <col min="12557" max="12557" width="17.77734375" style="417" customWidth="1"/>
    <col min="12558" max="12799" width="8.77734375" style="417" customWidth="1"/>
    <col min="12800" max="12800" width="32.33203125" style="417" bestFit="1" customWidth="1"/>
    <col min="12801" max="12801" width="22.21875" style="417" customWidth="1"/>
    <col min="12802" max="12802" width="14.33203125" style="417" customWidth="1"/>
    <col min="12803" max="12803" width="19" style="417" customWidth="1"/>
    <col min="12804" max="12804" width="8.77734375" style="417" customWidth="1"/>
    <col min="12805" max="12805" width="11.33203125" style="417" customWidth="1"/>
    <col min="12806" max="12806" width="8.77734375" style="417" customWidth="1"/>
    <col min="12807" max="12807" width="6.33203125" style="417" customWidth="1"/>
    <col min="12808" max="12808" width="14.33203125" style="417" customWidth="1"/>
    <col min="12809" max="12812" width="8.77734375" style="417" customWidth="1"/>
    <col min="12813" max="12813" width="17.77734375" style="417" customWidth="1"/>
    <col min="12814" max="13055" width="8.77734375" style="417" customWidth="1"/>
    <col min="13056" max="13056" width="32.33203125" style="417" bestFit="1" customWidth="1"/>
    <col min="13057" max="13057" width="22.21875" style="417" customWidth="1"/>
    <col min="13058" max="13058" width="14.33203125" style="417" customWidth="1"/>
    <col min="13059" max="13059" width="19" style="417" customWidth="1"/>
    <col min="13060" max="13060" width="8.77734375" style="417" customWidth="1"/>
    <col min="13061" max="13061" width="11.33203125" style="417" customWidth="1"/>
    <col min="13062" max="13062" width="8.77734375" style="417" customWidth="1"/>
    <col min="13063" max="13063" width="6.33203125" style="417" customWidth="1"/>
    <col min="13064" max="13064" width="14.33203125" style="417" customWidth="1"/>
    <col min="13065" max="13068" width="8.77734375" style="417" customWidth="1"/>
    <col min="13069" max="13069" width="17.77734375" style="417" customWidth="1"/>
    <col min="13070" max="13311" width="8.77734375" style="417" customWidth="1"/>
    <col min="13312" max="13312" width="32.33203125" style="417" bestFit="1" customWidth="1"/>
    <col min="13313" max="13313" width="22.21875" style="417" customWidth="1"/>
    <col min="13314" max="13314" width="14.33203125" style="417" customWidth="1"/>
    <col min="13315" max="13315" width="19" style="417" customWidth="1"/>
    <col min="13316" max="13316" width="8.77734375" style="417" customWidth="1"/>
    <col min="13317" max="13317" width="11.33203125" style="417" customWidth="1"/>
    <col min="13318" max="13318" width="8.77734375" style="417" customWidth="1"/>
    <col min="13319" max="13319" width="6.33203125" style="417" customWidth="1"/>
    <col min="13320" max="13320" width="14.33203125" style="417" customWidth="1"/>
    <col min="13321" max="13324" width="8.77734375" style="417" customWidth="1"/>
    <col min="13325" max="13325" width="17.77734375" style="417" customWidth="1"/>
    <col min="13326" max="13567" width="8.77734375" style="417" customWidth="1"/>
    <col min="13568" max="13568" width="32.33203125" style="417" bestFit="1" customWidth="1"/>
    <col min="13569" max="13569" width="22.21875" style="417" customWidth="1"/>
    <col min="13570" max="13570" width="14.33203125" style="417" customWidth="1"/>
    <col min="13571" max="13571" width="19" style="417" customWidth="1"/>
    <col min="13572" max="13572" width="8.77734375" style="417" customWidth="1"/>
    <col min="13573" max="13573" width="11.33203125" style="417" customWidth="1"/>
    <col min="13574" max="13574" width="8.77734375" style="417" customWidth="1"/>
    <col min="13575" max="13575" width="6.33203125" style="417" customWidth="1"/>
    <col min="13576" max="13576" width="14.33203125" style="417" customWidth="1"/>
    <col min="13577" max="13580" width="8.77734375" style="417" customWidth="1"/>
    <col min="13581" max="13581" width="17.77734375" style="417" customWidth="1"/>
    <col min="13582" max="13823" width="8.77734375" style="417" customWidth="1"/>
    <col min="13824" max="13824" width="32.33203125" style="417" bestFit="1" customWidth="1"/>
    <col min="13825" max="13825" width="22.21875" style="417" customWidth="1"/>
    <col min="13826" max="13826" width="14.33203125" style="417" customWidth="1"/>
    <col min="13827" max="13827" width="19" style="417" customWidth="1"/>
    <col min="13828" max="13828" width="8.77734375" style="417" customWidth="1"/>
    <col min="13829" max="13829" width="11.33203125" style="417" customWidth="1"/>
    <col min="13830" max="13830" width="8.77734375" style="417" customWidth="1"/>
    <col min="13831" max="13831" width="6.33203125" style="417" customWidth="1"/>
    <col min="13832" max="13832" width="14.33203125" style="417" customWidth="1"/>
    <col min="13833" max="13836" width="8.77734375" style="417" customWidth="1"/>
    <col min="13837" max="13837" width="17.77734375" style="417" customWidth="1"/>
    <col min="13838" max="14079" width="8.77734375" style="417" customWidth="1"/>
    <col min="14080" max="14080" width="32.33203125" style="417" bestFit="1" customWidth="1"/>
    <col min="14081" max="14081" width="22.21875" style="417" customWidth="1"/>
    <col min="14082" max="14082" width="14.33203125" style="417" customWidth="1"/>
    <col min="14083" max="14083" width="19" style="417" customWidth="1"/>
    <col min="14084" max="14084" width="8.77734375" style="417" customWidth="1"/>
    <col min="14085" max="14085" width="11.33203125" style="417" customWidth="1"/>
    <col min="14086" max="14086" width="8.77734375" style="417" customWidth="1"/>
    <col min="14087" max="14087" width="6.33203125" style="417" customWidth="1"/>
    <col min="14088" max="14088" width="14.33203125" style="417" customWidth="1"/>
    <col min="14089" max="14092" width="8.77734375" style="417" customWidth="1"/>
    <col min="14093" max="14093" width="17.77734375" style="417" customWidth="1"/>
    <col min="14094" max="14335" width="8.77734375" style="417" customWidth="1"/>
    <col min="14336" max="14336" width="32.33203125" style="417" bestFit="1" customWidth="1"/>
    <col min="14337" max="14337" width="22.21875" style="417" customWidth="1"/>
    <col min="14338" max="14338" width="14.33203125" style="417" customWidth="1"/>
    <col min="14339" max="14339" width="19" style="417" customWidth="1"/>
    <col min="14340" max="14340" width="8.77734375" style="417" customWidth="1"/>
    <col min="14341" max="14341" width="11.33203125" style="417" customWidth="1"/>
    <col min="14342" max="14342" width="8.77734375" style="417" customWidth="1"/>
    <col min="14343" max="14343" width="6.33203125" style="417" customWidth="1"/>
    <col min="14344" max="14344" width="14.33203125" style="417" customWidth="1"/>
    <col min="14345" max="14348" width="8.77734375" style="417" customWidth="1"/>
    <col min="14349" max="14349" width="17.77734375" style="417" customWidth="1"/>
    <col min="14350" max="14591" width="8.77734375" style="417" customWidth="1"/>
    <col min="14592" max="14592" width="32.33203125" style="417" bestFit="1" customWidth="1"/>
    <col min="14593" max="14593" width="22.21875" style="417" customWidth="1"/>
    <col min="14594" max="14594" width="14.33203125" style="417" customWidth="1"/>
    <col min="14595" max="14595" width="19" style="417" customWidth="1"/>
    <col min="14596" max="14596" width="8.77734375" style="417" customWidth="1"/>
    <col min="14597" max="14597" width="11.33203125" style="417" customWidth="1"/>
    <col min="14598" max="14598" width="8.77734375" style="417" customWidth="1"/>
    <col min="14599" max="14599" width="6.33203125" style="417" customWidth="1"/>
    <col min="14600" max="14600" width="14.33203125" style="417" customWidth="1"/>
    <col min="14601" max="14604" width="8.77734375" style="417" customWidth="1"/>
    <col min="14605" max="14605" width="17.77734375" style="417" customWidth="1"/>
    <col min="14606" max="14847" width="8.77734375" style="417" customWidth="1"/>
    <col min="14848" max="14848" width="32.33203125" style="417" bestFit="1" customWidth="1"/>
    <col min="14849" max="14849" width="22.21875" style="417" customWidth="1"/>
    <col min="14850" max="14850" width="14.33203125" style="417" customWidth="1"/>
    <col min="14851" max="14851" width="19" style="417" customWidth="1"/>
    <col min="14852" max="14852" width="8.77734375" style="417" customWidth="1"/>
    <col min="14853" max="14853" width="11.33203125" style="417" customWidth="1"/>
    <col min="14854" max="14854" width="8.77734375" style="417" customWidth="1"/>
    <col min="14855" max="14855" width="6.33203125" style="417" customWidth="1"/>
    <col min="14856" max="14856" width="14.33203125" style="417" customWidth="1"/>
    <col min="14857" max="14860" width="8.77734375" style="417" customWidth="1"/>
    <col min="14861" max="14861" width="17.77734375" style="417" customWidth="1"/>
    <col min="14862" max="15103" width="8.77734375" style="417" customWidth="1"/>
    <col min="15104" max="15104" width="32.33203125" style="417" bestFit="1" customWidth="1"/>
    <col min="15105" max="15105" width="22.21875" style="417" customWidth="1"/>
    <col min="15106" max="15106" width="14.33203125" style="417" customWidth="1"/>
    <col min="15107" max="15107" width="19" style="417" customWidth="1"/>
    <col min="15108" max="15108" width="8.77734375" style="417" customWidth="1"/>
    <col min="15109" max="15109" width="11.33203125" style="417" customWidth="1"/>
    <col min="15110" max="15110" width="8.77734375" style="417" customWidth="1"/>
    <col min="15111" max="15111" width="6.33203125" style="417" customWidth="1"/>
    <col min="15112" max="15112" width="14.33203125" style="417" customWidth="1"/>
    <col min="15113" max="15116" width="8.77734375" style="417" customWidth="1"/>
    <col min="15117" max="15117" width="17.77734375" style="417" customWidth="1"/>
    <col min="15118" max="15359" width="8.77734375" style="417" customWidth="1"/>
    <col min="15360" max="15360" width="32.33203125" style="417" bestFit="1" customWidth="1"/>
    <col min="15361" max="15361" width="22.21875" style="417" customWidth="1"/>
    <col min="15362" max="15362" width="14.33203125" style="417" customWidth="1"/>
    <col min="15363" max="15363" width="19" style="417" customWidth="1"/>
    <col min="15364" max="15364" width="8.77734375" style="417" customWidth="1"/>
    <col min="15365" max="15365" width="11.33203125" style="417" customWidth="1"/>
    <col min="15366" max="15366" width="8.77734375" style="417" customWidth="1"/>
    <col min="15367" max="15367" width="6.33203125" style="417" customWidth="1"/>
    <col min="15368" max="15368" width="14.33203125" style="417" customWidth="1"/>
    <col min="15369" max="15372" width="8.77734375" style="417" customWidth="1"/>
    <col min="15373" max="15373" width="17.77734375" style="417" customWidth="1"/>
    <col min="15374" max="15615" width="8.77734375" style="417" customWidth="1"/>
    <col min="15616" max="15616" width="32.33203125" style="417" bestFit="1" customWidth="1"/>
    <col min="15617" max="15617" width="22.21875" style="417" customWidth="1"/>
    <col min="15618" max="15618" width="14.33203125" style="417" customWidth="1"/>
    <col min="15619" max="15619" width="19" style="417" customWidth="1"/>
    <col min="15620" max="15620" width="8.77734375" style="417" customWidth="1"/>
    <col min="15621" max="15621" width="11.33203125" style="417" customWidth="1"/>
    <col min="15622" max="15622" width="8.77734375" style="417" customWidth="1"/>
    <col min="15623" max="15623" width="6.33203125" style="417" customWidth="1"/>
    <col min="15624" max="15624" width="14.33203125" style="417" customWidth="1"/>
    <col min="15625" max="15628" width="8.77734375" style="417" customWidth="1"/>
    <col min="15629" max="15629" width="17.77734375" style="417" customWidth="1"/>
    <col min="15630" max="15871" width="8.77734375" style="417" customWidth="1"/>
    <col min="15872" max="15872" width="32.33203125" style="417" bestFit="1" customWidth="1"/>
    <col min="15873" max="15873" width="22.21875" style="417" customWidth="1"/>
    <col min="15874" max="15874" width="14.33203125" style="417" customWidth="1"/>
    <col min="15875" max="15875" width="19" style="417" customWidth="1"/>
    <col min="15876" max="15876" width="8.77734375" style="417" customWidth="1"/>
    <col min="15877" max="15877" width="11.33203125" style="417" customWidth="1"/>
    <col min="15878" max="15878" width="8.77734375" style="417" customWidth="1"/>
    <col min="15879" max="15879" width="6.33203125" style="417" customWidth="1"/>
    <col min="15880" max="15880" width="14.33203125" style="417" customWidth="1"/>
    <col min="15881" max="15884" width="8.77734375" style="417" customWidth="1"/>
    <col min="15885" max="15885" width="17.77734375" style="417" customWidth="1"/>
    <col min="15886" max="16127" width="8.77734375" style="417" customWidth="1"/>
    <col min="16128" max="16128" width="32.33203125" style="417" bestFit="1" customWidth="1"/>
    <col min="16129" max="16129" width="22.21875" style="417" customWidth="1"/>
    <col min="16130" max="16130" width="14.33203125" style="417" customWidth="1"/>
    <col min="16131" max="16131" width="19" style="417" customWidth="1"/>
    <col min="16132" max="16132" width="8.77734375" style="417" customWidth="1"/>
    <col min="16133" max="16133" width="11.33203125" style="417" customWidth="1"/>
    <col min="16134" max="16134" width="8.77734375" style="417" customWidth="1"/>
    <col min="16135" max="16135" width="6.33203125" style="417" customWidth="1"/>
    <col min="16136" max="16136" width="14.33203125" style="417" customWidth="1"/>
    <col min="16137" max="16140" width="8.77734375" style="417" customWidth="1"/>
    <col min="16141" max="16141" width="17.77734375" style="417" customWidth="1"/>
    <col min="16142" max="16384" width="8.77734375" style="417" customWidth="1"/>
  </cols>
  <sheetData>
    <row r="1" spans="1:14" x14ac:dyDescent="0.25">
      <c r="A1" s="416" t="s">
        <v>0</v>
      </c>
      <c r="B1" s="951" t="str">
        <f>'Cover Page'!D1</f>
        <v>Highland Prep West</v>
      </c>
      <c r="C1" s="951"/>
      <c r="E1" s="416" t="s">
        <v>1</v>
      </c>
      <c r="F1" s="588" t="str">
        <f>'Cover Page'!M1</f>
        <v>Maricopa</v>
      </c>
      <c r="G1" s="418"/>
      <c r="H1" s="416" t="s">
        <v>2</v>
      </c>
      <c r="I1" s="545" t="str">
        <f>'Cover Page'!R1</f>
        <v>078419000</v>
      </c>
      <c r="J1" s="588"/>
      <c r="K1" s="588"/>
    </row>
    <row r="3" spans="1:14" x14ac:dyDescent="0.25">
      <c r="A3" s="661" t="s">
        <v>726</v>
      </c>
    </row>
    <row r="4" spans="1:14" x14ac:dyDescent="0.25">
      <c r="H4" s="419" t="s">
        <v>474</v>
      </c>
      <c r="I4" s="682" t="s">
        <v>1303</v>
      </c>
      <c r="J4" s="682" t="s">
        <v>1304</v>
      </c>
    </row>
    <row r="5" spans="1:14" x14ac:dyDescent="0.25">
      <c r="H5" s="7" t="s">
        <v>475</v>
      </c>
      <c r="I5" s="521">
        <v>284</v>
      </c>
      <c r="J5" s="521">
        <v>425</v>
      </c>
    </row>
    <row r="6" spans="1:14" x14ac:dyDescent="0.25">
      <c r="A6" s="420"/>
      <c r="B6" s="421" t="s">
        <v>476</v>
      </c>
    </row>
    <row r="8" spans="1:14" ht="15" customHeight="1" x14ac:dyDescent="0.25">
      <c r="A8" s="422"/>
      <c r="B8" s="423"/>
      <c r="C8" s="424" t="s">
        <v>477</v>
      </c>
      <c r="D8" s="952" t="s">
        <v>478</v>
      </c>
      <c r="E8" s="425"/>
      <c r="F8" s="426"/>
      <c r="G8" s="948" t="s">
        <v>479</v>
      </c>
      <c r="H8" s="950" t="s">
        <v>480</v>
      </c>
      <c r="I8" s="426"/>
      <c r="J8" s="426"/>
      <c r="K8" s="427"/>
    </row>
    <row r="9" spans="1:14" x14ac:dyDescent="0.25">
      <c r="A9" s="428"/>
      <c r="B9" s="429" t="s">
        <v>184</v>
      </c>
      <c r="C9" s="430" t="s">
        <v>184</v>
      </c>
      <c r="D9" s="953"/>
      <c r="E9" s="431"/>
      <c r="F9" s="432"/>
      <c r="G9" s="949"/>
      <c r="H9" s="949"/>
      <c r="I9" s="432" t="s">
        <v>311</v>
      </c>
      <c r="J9" s="432" t="s">
        <v>481</v>
      </c>
      <c r="K9" s="433" t="s">
        <v>187</v>
      </c>
    </row>
    <row r="10" spans="1:14" x14ac:dyDescent="0.25">
      <c r="A10" s="434" t="s">
        <v>482</v>
      </c>
      <c r="B10" s="435" t="s">
        <v>483</v>
      </c>
      <c r="C10" s="436" t="s">
        <v>483</v>
      </c>
      <c r="D10" s="954"/>
      <c r="E10" s="437" t="s">
        <v>484</v>
      </c>
      <c r="F10" s="438" t="s">
        <v>313</v>
      </c>
      <c r="G10" s="949"/>
      <c r="H10" s="949"/>
      <c r="I10" s="438" t="s">
        <v>315</v>
      </c>
      <c r="J10" s="438" t="s">
        <v>485</v>
      </c>
      <c r="K10" s="439" t="s">
        <v>483</v>
      </c>
      <c r="M10" s="416" t="s">
        <v>486</v>
      </c>
    </row>
    <row r="11" spans="1:14" x14ac:dyDescent="0.25">
      <c r="A11" s="440" t="s">
        <v>487</v>
      </c>
      <c r="B11" s="441"/>
      <c r="C11" s="442"/>
      <c r="D11" s="442"/>
      <c r="E11" s="443"/>
      <c r="F11" s="444"/>
      <c r="G11" s="445">
        <f>'Page 2'!I23</f>
        <v>3298343</v>
      </c>
      <c r="H11" s="446">
        <f>'Page 2'!J23</f>
        <v>3557830</v>
      </c>
      <c r="I11" s="447"/>
      <c r="J11" s="444"/>
      <c r="K11" s="441"/>
      <c r="M11" s="416" t="s">
        <v>1117</v>
      </c>
    </row>
    <row r="12" spans="1:14" x14ac:dyDescent="0.25">
      <c r="A12" s="440" t="s">
        <v>488</v>
      </c>
      <c r="B12" s="441"/>
      <c r="C12" s="441"/>
      <c r="D12" s="441"/>
      <c r="E12" s="448"/>
      <c r="F12" s="444"/>
      <c r="G12" s="445">
        <f>'Page 2'!I37</f>
        <v>35000</v>
      </c>
      <c r="H12" s="449">
        <f>'Page 2'!J37</f>
        <v>37504</v>
      </c>
      <c r="I12" s="447"/>
      <c r="J12" s="444"/>
      <c r="K12" s="441"/>
      <c r="M12" s="450">
        <v>-1</v>
      </c>
      <c r="N12" s="417" t="str">
        <f>"The Charter "&amp;IF('Reserve balance'!F26="Yes","has","does not have")&amp;" an adopted policy establishing a reserve balance for FY 2025."</f>
        <v>The Charter has an adopted policy establishing a reserve balance for FY 2025.</v>
      </c>
    </row>
    <row r="13" spans="1:14" x14ac:dyDescent="0.25">
      <c r="A13" s="440" t="s">
        <v>489</v>
      </c>
      <c r="B13" s="441"/>
      <c r="C13" s="441"/>
      <c r="D13" s="441"/>
      <c r="E13" s="448"/>
      <c r="F13" s="444"/>
      <c r="G13" s="451">
        <f>'Page 2'!I38</f>
        <v>0</v>
      </c>
      <c r="H13" s="449">
        <f>'Page 2'!J38</f>
        <v>8911</v>
      </c>
      <c r="I13" s="447"/>
      <c r="J13" s="444"/>
      <c r="K13" s="441"/>
    </row>
    <row r="14" spans="1:14" x14ac:dyDescent="0.25">
      <c r="A14" s="440" t="s">
        <v>490</v>
      </c>
      <c r="B14" s="441"/>
      <c r="C14" s="441"/>
      <c r="D14" s="441"/>
      <c r="E14" s="448"/>
      <c r="F14" s="444"/>
      <c r="G14" s="451">
        <f>'Page 2'!I39</f>
        <v>0</v>
      </c>
      <c r="H14" s="449">
        <f>'Page 2'!J39</f>
        <v>0</v>
      </c>
      <c r="I14" s="447"/>
      <c r="J14" s="444"/>
      <c r="K14" s="441"/>
      <c r="M14" s="450">
        <v>-2</v>
      </c>
      <c r="N14" s="685" t="s">
        <v>1305</v>
      </c>
    </row>
    <row r="15" spans="1:14" x14ac:dyDescent="0.25">
      <c r="A15" s="452" t="s">
        <v>491</v>
      </c>
      <c r="B15" s="453"/>
      <c r="C15" s="453"/>
      <c r="D15" s="453"/>
      <c r="E15" s="454"/>
      <c r="F15" s="444"/>
      <c r="G15" s="455">
        <f>'Page 2'!I40</f>
        <v>0</v>
      </c>
      <c r="H15" s="456">
        <f>'Page 2'!J40</f>
        <v>0</v>
      </c>
      <c r="I15" s="447"/>
      <c r="J15" s="444"/>
      <c r="K15" s="441"/>
      <c r="N15" s="457">
        <f>'Reserve balance'!D39</f>
        <v>1444786</v>
      </c>
    </row>
    <row r="16" spans="1:14" x14ac:dyDescent="0.25">
      <c r="A16" s="458" t="s">
        <v>492</v>
      </c>
      <c r="B16" s="453"/>
      <c r="C16" s="441"/>
      <c r="D16" s="441"/>
      <c r="E16" s="448"/>
      <c r="F16" s="459"/>
      <c r="G16" s="460">
        <f>'Page 2'!I41</f>
        <v>0</v>
      </c>
      <c r="H16" s="461">
        <f>'Page 2'!J41</f>
        <v>0</v>
      </c>
      <c r="I16" s="459"/>
      <c r="J16" s="444"/>
      <c r="K16" s="462"/>
    </row>
    <row r="17" spans="1:11" x14ac:dyDescent="0.25">
      <c r="A17" s="463" t="s">
        <v>493</v>
      </c>
      <c r="B17" s="607">
        <f>[2]Summary!$K$17</f>
        <v>636656</v>
      </c>
      <c r="C17" s="469"/>
      <c r="D17" s="464">
        <f>'Page 1'!H43-SUM(D18:D23)</f>
        <v>4346728</v>
      </c>
      <c r="E17" s="448"/>
      <c r="F17" s="469"/>
      <c r="G17" s="519"/>
      <c r="H17" s="520">
        <v>3604245</v>
      </c>
      <c r="I17" s="469"/>
      <c r="J17" s="469"/>
      <c r="K17" s="465">
        <f>IF(C17="",B17,C17)+D17-E17-F17-I17-H17-J17</f>
        <v>1379139</v>
      </c>
    </row>
    <row r="18" spans="1:11" x14ac:dyDescent="0.25">
      <c r="A18" s="463" t="s">
        <v>494</v>
      </c>
      <c r="B18" s="464">
        <f>IF('Page 3'!F25="",'Page 3'!F24,'Page 3'!F25)</f>
        <v>73221</v>
      </c>
      <c r="C18" s="441"/>
      <c r="D18" s="465">
        <f>'Page 3'!F28</f>
        <v>479051</v>
      </c>
      <c r="E18" s="448"/>
      <c r="F18" s="469"/>
      <c r="G18" s="466">
        <f>'Page 3'!J13+'Page 3'!F18</f>
        <v>280000</v>
      </c>
      <c r="H18" s="603">
        <f>'Page 3'!G18+'Page 3'!K13</f>
        <v>486625</v>
      </c>
      <c r="I18" s="464">
        <f>'Page 3'!G17</f>
        <v>0</v>
      </c>
      <c r="J18" s="464">
        <f>'Page 3'!G19</f>
        <v>0</v>
      </c>
      <c r="K18" s="465">
        <f t="shared" ref="K18:K23" si="0">B18+D18-E18-F18-I18-H18-J18</f>
        <v>65647</v>
      </c>
    </row>
    <row r="19" spans="1:11" x14ac:dyDescent="0.25">
      <c r="A19" s="463" t="s">
        <v>495</v>
      </c>
      <c r="B19" s="464">
        <f>IF('Page 4'!F16="",'Page 4'!F15,'Page 4'!F16)</f>
        <v>0</v>
      </c>
      <c r="C19" s="441"/>
      <c r="D19" s="465">
        <f>'Page 4'!F17</f>
        <v>32467</v>
      </c>
      <c r="E19" s="448"/>
      <c r="F19" s="469"/>
      <c r="G19" s="518">
        <f>'Page 4'!H11</f>
        <v>10000</v>
      </c>
      <c r="H19" s="465">
        <f>'Page 4'!I11</f>
        <v>32467</v>
      </c>
      <c r="I19" s="447"/>
      <c r="J19" s="447"/>
      <c r="K19" s="465">
        <f t="shared" si="0"/>
        <v>0</v>
      </c>
    </row>
    <row r="20" spans="1:11" x14ac:dyDescent="0.25">
      <c r="A20" s="463" t="s">
        <v>496</v>
      </c>
      <c r="B20" s="464">
        <f>IF('Page 5'!G26="",'Page 5'!F26,'Page 5'!G26)</f>
        <v>0</v>
      </c>
      <c r="C20" s="441"/>
      <c r="D20" s="465">
        <f>'Page 5'!H26</f>
        <v>0</v>
      </c>
      <c r="E20" s="448"/>
      <c r="F20" s="469"/>
      <c r="G20" s="518">
        <f>'Page 5'!N26</f>
        <v>0</v>
      </c>
      <c r="H20" s="465">
        <f>'Page 5'!O26</f>
        <v>0</v>
      </c>
      <c r="I20" s="447"/>
      <c r="J20" s="447"/>
      <c r="K20" s="465">
        <f t="shared" si="0"/>
        <v>0</v>
      </c>
    </row>
    <row r="21" spans="1:11" x14ac:dyDescent="0.25">
      <c r="A21" s="463" t="s">
        <v>497</v>
      </c>
      <c r="B21" s="464">
        <f>IF('Page 5'!G48="",'Page 5'!F48,'Page 5'!G48)</f>
        <v>0</v>
      </c>
      <c r="C21" s="441"/>
      <c r="D21" s="465">
        <f>'Page 5'!H48</f>
        <v>0</v>
      </c>
      <c r="E21" s="448"/>
      <c r="F21" s="469"/>
      <c r="G21" s="518">
        <f>'Page 5'!N48</f>
        <v>0</v>
      </c>
      <c r="H21" s="465">
        <f>'Page 5'!O48</f>
        <v>0</v>
      </c>
      <c r="I21" s="447"/>
      <c r="J21" s="447"/>
      <c r="K21" s="465">
        <f t="shared" si="0"/>
        <v>0</v>
      </c>
    </row>
    <row r="22" spans="1:11" x14ac:dyDescent="0.25">
      <c r="A22" s="463" t="s">
        <v>498</v>
      </c>
      <c r="B22" s="465">
        <f>IF('Page 8'!F23="",'Page 8'!E23,'Page 8'!F23)</f>
        <v>0</v>
      </c>
      <c r="C22" s="441"/>
      <c r="D22" s="465">
        <f>'Page 8'!G23</f>
        <v>434804</v>
      </c>
      <c r="E22" s="544">
        <f>'Page 8'!H23</f>
        <v>0</v>
      </c>
      <c r="F22" s="464">
        <f>'Page 8'!I23</f>
        <v>0</v>
      </c>
      <c r="G22" s="518">
        <f>'Page 8'!J23</f>
        <v>365000</v>
      </c>
      <c r="H22" s="465">
        <f>'Page 8'!K23</f>
        <v>434804</v>
      </c>
      <c r="I22" s="466">
        <f>'Page 8'!M23</f>
        <v>0</v>
      </c>
      <c r="J22" s="464">
        <f>'Page 8'!L23</f>
        <v>0</v>
      </c>
      <c r="K22" s="465">
        <f t="shared" si="0"/>
        <v>0</v>
      </c>
    </row>
    <row r="23" spans="1:11" x14ac:dyDescent="0.25">
      <c r="A23" s="463" t="s">
        <v>499</v>
      </c>
      <c r="B23" s="465">
        <f>IF('Page 8'!F40="",'Page 8'!E40,'Page 8'!F40)</f>
        <v>0</v>
      </c>
      <c r="C23" s="441"/>
      <c r="D23" s="465">
        <f>'Page 8'!G40</f>
        <v>174533</v>
      </c>
      <c r="E23" s="448"/>
      <c r="F23" s="464">
        <f>'Page 8'!I40</f>
        <v>0</v>
      </c>
      <c r="G23" s="468">
        <f>'Page 8'!J40</f>
        <v>80000</v>
      </c>
      <c r="H23" s="467">
        <f>'Page 8'!K40</f>
        <v>174533</v>
      </c>
      <c r="I23" s="464">
        <f>'Page 8'!M40</f>
        <v>0</v>
      </c>
      <c r="J23" s="464">
        <f>'Page 8'!L40</f>
        <v>0</v>
      </c>
      <c r="K23" s="465">
        <f t="shared" si="0"/>
        <v>0</v>
      </c>
    </row>
  </sheetData>
  <sheetProtection sheet="1" objects="1" scenarios="1"/>
  <mergeCells count="4">
    <mergeCell ref="G8:G10"/>
    <mergeCell ref="H8:H10"/>
    <mergeCell ref="B1:C1"/>
    <mergeCell ref="D8:D10"/>
  </mergeCells>
  <conditionalFormatting sqref="B17:C17">
    <cfRule type="containsBlanks" dxfId="22" priority="6">
      <formula>LEN(TRIM(B17))=0</formula>
    </cfRule>
  </conditionalFormatting>
  <conditionalFormatting sqref="F17:F21">
    <cfRule type="containsBlanks" dxfId="21" priority="5">
      <formula>LEN(TRIM(F17))=0</formula>
    </cfRule>
  </conditionalFormatting>
  <conditionalFormatting sqref="G17:J17">
    <cfRule type="containsBlanks" dxfId="20" priority="1">
      <formula>LEN(TRIM(G17))=0</formula>
    </cfRule>
  </conditionalFormatting>
  <conditionalFormatting sqref="I5">
    <cfRule type="containsBlanks" priority="11">
      <formula>LEN(TRIM(I5))=0</formula>
    </cfRule>
  </conditionalFormatting>
  <conditionalFormatting sqref="I5:J5">
    <cfRule type="containsBlanks" dxfId="19" priority="8">
      <formula>LEN(TRIM(I5))=0</formula>
    </cfRule>
  </conditionalFormatting>
  <dataValidations count="1">
    <dataValidation allowBlank="1" showInputMessage="1" showErrorMessage="1" promptTitle="Reversions" prompt="Enter as a positive amount." sqref="F17:F21" xr:uid="{00000000-0002-0000-0C00-000000000000}"/>
  </dataValidations>
  <hyperlinks>
    <hyperlink ref="B9:B10" r:id="rId1" display="Beginning" xr:uid="{00000000-0004-0000-0C00-000000000000}"/>
    <hyperlink ref="B10" location="BegProjectBalances" display="Project Balance" xr:uid="{00000000-0004-0000-0C00-000001000000}"/>
    <hyperlink ref="B9" location="BegProjectBalances" display="Beginning" xr:uid="{00000000-0004-0000-0C00-000002000000}"/>
    <hyperlink ref="C8:C10" location="AdjustedBeginningProjectBalance" display="Adjusted " xr:uid="{00000000-0004-0000-0C00-000003000000}"/>
    <hyperlink ref="H4" location="SumADM" display="Avg. Daily Membership" xr:uid="{00000000-0004-0000-0C00-000004000000}"/>
    <hyperlink ref="A3" location="SumGen" display="Instructions" xr:uid="{548042B0-8837-4214-81D7-D4CB6B7B3237}"/>
  </hyperlinks>
  <pageMargins left="0.7" right="0.7" top="0.75" bottom="0.75" header="0.3" footer="0.3"/>
  <pageSetup scale="46" orientation="landscape" r:id="rId2"/>
  <headerFooter>
    <oddFooter>&amp;LRev. 8/25 Arizona Department of Education and Auditor General&amp;CFY 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C7A9E-0716-4938-BAFE-B2FAD027D935}">
  <sheetPr>
    <pageSetUpPr fitToPage="1"/>
  </sheetPr>
  <dimension ref="A1:AA46"/>
  <sheetViews>
    <sheetView showGridLines="0" topLeftCell="A8" workbookViewId="0">
      <selection activeCell="D36" sqref="D36"/>
    </sheetView>
  </sheetViews>
  <sheetFormatPr defaultColWidth="8.77734375" defaultRowHeight="13.2" x14ac:dyDescent="0.25"/>
  <cols>
    <col min="1" max="1" width="4.6640625" customWidth="1"/>
    <col min="2" max="2" width="50.21875" customWidth="1"/>
    <col min="3" max="3" width="24" customWidth="1"/>
    <col min="4" max="4" width="24.21875" customWidth="1"/>
    <col min="5" max="5" width="26.6640625" customWidth="1"/>
    <col min="6" max="6" width="25.77734375" customWidth="1"/>
    <col min="7" max="7" width="27.6640625" customWidth="1"/>
    <col min="8" max="8" width="19.33203125" customWidth="1"/>
    <col min="9" max="9" width="11.21875" customWidth="1"/>
    <col min="10" max="10" width="8.77734375" customWidth="1"/>
  </cols>
  <sheetData>
    <row r="1" spans="1:18" s="325" customFormat="1" x14ac:dyDescent="0.25">
      <c r="B1" s="324" t="s">
        <v>0</v>
      </c>
      <c r="C1" s="587" t="str">
        <f>'Cover Page'!D1</f>
        <v>Highland Prep West</v>
      </c>
      <c r="D1" s="587"/>
      <c r="E1" s="587"/>
      <c r="G1" s="324" t="s">
        <v>1</v>
      </c>
      <c r="H1" s="933" t="str">
        <f>'Cover Page'!M1</f>
        <v>Maricopa</v>
      </c>
      <c r="I1" s="933"/>
      <c r="J1" s="326"/>
      <c r="K1" s="324" t="s">
        <v>2</v>
      </c>
      <c r="L1" s="327" t="str">
        <f>'Cover Page'!R1</f>
        <v>078419000</v>
      </c>
      <c r="M1" s="328"/>
      <c r="N1" s="328"/>
      <c r="O1" s="329"/>
      <c r="P1" s="330"/>
      <c r="R1" s="331"/>
    </row>
    <row r="2" spans="1:18" s="325" customFormat="1" x14ac:dyDescent="0.25">
      <c r="B2" s="324"/>
      <c r="C2" s="328"/>
      <c r="D2" s="328"/>
      <c r="E2" s="328"/>
      <c r="G2" s="324"/>
      <c r="H2" s="328"/>
      <c r="I2" s="328"/>
      <c r="J2" s="326"/>
      <c r="K2" s="324"/>
      <c r="L2" s="470"/>
      <c r="M2" s="328"/>
      <c r="N2" s="328"/>
      <c r="O2" s="329"/>
      <c r="P2" s="330"/>
      <c r="R2" s="331"/>
    </row>
    <row r="3" spans="1:18" s="471" customFormat="1" ht="24.75" customHeight="1" x14ac:dyDescent="0.25">
      <c r="A3" s="976" t="s">
        <v>1107</v>
      </c>
      <c r="B3" s="976"/>
      <c r="C3" s="976"/>
      <c r="D3" s="976"/>
      <c r="E3" s="976"/>
      <c r="F3" s="976"/>
      <c r="G3" s="976"/>
      <c r="H3" s="976"/>
      <c r="J3" s="472"/>
      <c r="K3" s="473"/>
      <c r="L3" s="474"/>
      <c r="Q3" s="475"/>
      <c r="R3" s="476"/>
    </row>
    <row r="4" spans="1:18" s="471" customFormat="1" ht="16.5" customHeight="1" x14ac:dyDescent="0.25">
      <c r="A4" s="477"/>
      <c r="B4" s="477"/>
      <c r="C4" s="477"/>
      <c r="D4" s="477"/>
      <c r="E4" s="477"/>
      <c r="F4" s="477"/>
      <c r="G4" s="477"/>
      <c r="H4" s="477"/>
      <c r="J4" s="472"/>
      <c r="K4" s="473"/>
      <c r="L4" s="474"/>
      <c r="Q4" s="475"/>
      <c r="R4" s="476"/>
    </row>
    <row r="5" spans="1:18" x14ac:dyDescent="0.25">
      <c r="A5" s="973" t="s">
        <v>1103</v>
      </c>
      <c r="B5" s="973"/>
    </row>
    <row r="7" spans="1:18" x14ac:dyDescent="0.25">
      <c r="C7" s="478" t="s">
        <v>500</v>
      </c>
      <c r="R7" s="53" t="s">
        <v>501</v>
      </c>
    </row>
    <row r="8" spans="1:18" x14ac:dyDescent="0.25">
      <c r="A8" s="479" t="s">
        <v>1108</v>
      </c>
      <c r="C8" s="480"/>
    </row>
    <row r="9" spans="1:18" x14ac:dyDescent="0.25">
      <c r="A9" s="481" t="s">
        <v>24</v>
      </c>
      <c r="B9" s="686" t="s">
        <v>1306</v>
      </c>
      <c r="C9" s="465">
        <f>IF(Summary!C17="",Summary!B17,Summary!C17)+SUM(Summary!B18:B23)</f>
        <v>709877</v>
      </c>
    </row>
    <row r="10" spans="1:18" x14ac:dyDescent="0.25">
      <c r="A10" s="483" t="s">
        <v>1109</v>
      </c>
      <c r="C10" s="480"/>
    </row>
    <row r="11" spans="1:18" x14ac:dyDescent="0.25">
      <c r="A11" s="481" t="s">
        <v>26</v>
      </c>
      <c r="B11" s="686" t="s">
        <v>1307</v>
      </c>
      <c r="C11" s="465">
        <f>SUM(Summary!K17:K23)</f>
        <v>1444786</v>
      </c>
    </row>
    <row r="12" spans="1:18" x14ac:dyDescent="0.25">
      <c r="A12" s="977" t="s">
        <v>1312</v>
      </c>
      <c r="B12" s="977"/>
    </row>
    <row r="13" spans="1:18" x14ac:dyDescent="0.25">
      <c r="A13" s="481" t="s">
        <v>502</v>
      </c>
      <c r="B13" s="482" t="s">
        <v>503</v>
      </c>
      <c r="C13" s="107"/>
    </row>
    <row r="14" spans="1:18" x14ac:dyDescent="0.25">
      <c r="A14" s="481" t="s">
        <v>504</v>
      </c>
      <c r="B14" s="687" t="s">
        <v>1308</v>
      </c>
      <c r="C14" s="107"/>
    </row>
    <row r="15" spans="1:18" x14ac:dyDescent="0.25">
      <c r="A15" s="481" t="s">
        <v>505</v>
      </c>
      <c r="B15" s="673" t="s">
        <v>1309</v>
      </c>
      <c r="C15" s="107"/>
    </row>
    <row r="16" spans="1:18" x14ac:dyDescent="0.25">
      <c r="A16" s="481" t="s">
        <v>506</v>
      </c>
      <c r="B16" s="673" t="s">
        <v>1310</v>
      </c>
      <c r="C16" s="107"/>
    </row>
    <row r="17" spans="1:27" x14ac:dyDescent="0.25">
      <c r="A17" s="481" t="s">
        <v>507</v>
      </c>
      <c r="B17" s="673" t="s">
        <v>1311</v>
      </c>
      <c r="C17" s="107"/>
    </row>
    <row r="18" spans="1:27" x14ac:dyDescent="0.25">
      <c r="A18" s="481" t="s">
        <v>508</v>
      </c>
      <c r="B18" t="s">
        <v>509</v>
      </c>
      <c r="C18" s="107">
        <v>1444786</v>
      </c>
    </row>
    <row r="19" spans="1:27" x14ac:dyDescent="0.25">
      <c r="A19" s="481" t="s">
        <v>510</v>
      </c>
      <c r="B19" s="484" t="s">
        <v>511</v>
      </c>
      <c r="C19" s="107"/>
    </row>
    <row r="20" spans="1:27" x14ac:dyDescent="0.25">
      <c r="A20" s="7" t="s">
        <v>512</v>
      </c>
      <c r="B20" s="484" t="s">
        <v>511</v>
      </c>
      <c r="C20" s="107"/>
    </row>
    <row r="21" spans="1:27" x14ac:dyDescent="0.25">
      <c r="A21" s="7" t="s">
        <v>513</v>
      </c>
      <c r="B21" t="s">
        <v>1104</v>
      </c>
      <c r="C21" s="518">
        <f>IF(ROUND(SUM(C13:C20),0)=ROUND(C11,0),SUM(C13:C20),"Must equal line 2")</f>
        <v>1444786</v>
      </c>
    </row>
    <row r="22" spans="1:27" x14ac:dyDescent="0.25">
      <c r="A22" s="485"/>
    </row>
    <row r="23" spans="1:27" x14ac:dyDescent="0.25">
      <c r="A23" s="485"/>
    </row>
    <row r="24" spans="1:27" x14ac:dyDescent="0.25">
      <c r="A24" s="570"/>
      <c r="B24" s="570"/>
      <c r="D24" s="570"/>
      <c r="E24" s="570"/>
      <c r="F24" s="570"/>
      <c r="G24" s="570"/>
      <c r="H24" s="570"/>
    </row>
    <row r="25" spans="1:27" ht="39" customHeight="1" x14ac:dyDescent="0.25">
      <c r="A25" s="979" t="s">
        <v>1097</v>
      </c>
      <c r="B25" s="979"/>
      <c r="F25" s="598"/>
      <c r="G25" s="599" t="s">
        <v>1098</v>
      </c>
      <c r="H25" s="486"/>
      <c r="AA25" s="53" t="s">
        <v>514</v>
      </c>
    </row>
    <row r="26" spans="1:27" ht="28.5" customHeight="1" x14ac:dyDescent="0.25">
      <c r="A26" s="978" t="s">
        <v>24</v>
      </c>
      <c r="B26" s="981" t="s">
        <v>1105</v>
      </c>
      <c r="C26" s="981"/>
      <c r="D26" s="981"/>
      <c r="E26" s="982"/>
      <c r="F26" s="492" t="s">
        <v>514</v>
      </c>
      <c r="G26" s="604" t="s">
        <v>1363</v>
      </c>
      <c r="AA26" s="53" t="s">
        <v>515</v>
      </c>
    </row>
    <row r="27" spans="1:27" x14ac:dyDescent="0.25">
      <c r="A27" s="978"/>
      <c r="B27" s="600"/>
      <c r="C27" s="600"/>
      <c r="D27" s="600"/>
      <c r="E27" s="600"/>
      <c r="AA27" s="53" t="s">
        <v>515</v>
      </c>
    </row>
    <row r="28" spans="1:27" ht="44.25" customHeight="1" x14ac:dyDescent="0.25">
      <c r="A28" s="980" t="s">
        <v>1106</v>
      </c>
      <c r="B28" s="980"/>
      <c r="C28" s="980"/>
      <c r="D28" s="980"/>
      <c r="E28" s="980"/>
      <c r="F28" s="980"/>
    </row>
    <row r="29" spans="1:27" ht="20.25" customHeight="1" x14ac:dyDescent="0.25">
      <c r="A29" s="564" t="s">
        <v>26</v>
      </c>
      <c r="B29" s="974" t="s">
        <v>1099</v>
      </c>
      <c r="C29" s="974"/>
      <c r="D29" s="974"/>
      <c r="E29" s="975"/>
      <c r="F29" s="492" t="s">
        <v>515</v>
      </c>
      <c r="H29" s="486"/>
    </row>
    <row r="30" spans="1:27" ht="29.25" customHeight="1" x14ac:dyDescent="0.25">
      <c r="A30" s="564" t="s">
        <v>516</v>
      </c>
      <c r="B30" s="974" t="s">
        <v>1100</v>
      </c>
      <c r="C30" s="974"/>
      <c r="D30" s="974"/>
      <c r="E30" s="975"/>
      <c r="F30" s="492" t="s">
        <v>515</v>
      </c>
      <c r="G30" s="7"/>
      <c r="H30" s="606"/>
      <c r="AA30" s="53"/>
    </row>
    <row r="31" spans="1:27" ht="12" customHeight="1" x14ac:dyDescent="0.25">
      <c r="A31" s="487"/>
      <c r="B31" s="589"/>
      <c r="C31" s="589"/>
      <c r="D31" s="589"/>
      <c r="E31" s="589"/>
      <c r="F31" s="7"/>
      <c r="G31" s="7"/>
      <c r="H31" s="5"/>
      <c r="AA31" s="53"/>
    </row>
    <row r="32" spans="1:27" ht="15.75" customHeight="1" x14ac:dyDescent="0.25">
      <c r="A32" s="688" t="s">
        <v>1313</v>
      </c>
      <c r="B32" s="566"/>
      <c r="C32" s="566"/>
      <c r="D32" s="566"/>
      <c r="E32" s="566"/>
      <c r="F32" s="566"/>
      <c r="G32" s="488"/>
      <c r="H32" s="489"/>
    </row>
    <row r="33" spans="1:10" ht="11.25" customHeight="1" x14ac:dyDescent="0.25">
      <c r="A33" s="590"/>
      <c r="B33" s="549"/>
      <c r="C33" s="549"/>
      <c r="D33" s="549"/>
      <c r="E33" s="549"/>
      <c r="F33" s="549"/>
      <c r="G33" s="488"/>
      <c r="H33" s="489"/>
    </row>
    <row r="34" spans="1:10" ht="28.5" customHeight="1" x14ac:dyDescent="0.25">
      <c r="A34" s="565" t="s">
        <v>31</v>
      </c>
      <c r="B34" s="567" t="s">
        <v>517</v>
      </c>
      <c r="C34" s="567" t="s">
        <v>1314</v>
      </c>
      <c r="D34" s="567" t="s">
        <v>1315</v>
      </c>
      <c r="E34" s="964" t="s">
        <v>518</v>
      </c>
      <c r="F34" s="965"/>
      <c r="G34" s="965"/>
      <c r="H34" s="965"/>
      <c r="I34" s="965"/>
      <c r="J34" s="966"/>
    </row>
    <row r="35" spans="1:10" ht="39.75" customHeight="1" x14ac:dyDescent="0.25">
      <c r="A35" s="565"/>
      <c r="B35" s="640" t="s">
        <v>1364</v>
      </c>
      <c r="C35" s="107">
        <v>1300000</v>
      </c>
      <c r="D35" s="107">
        <v>1444786</v>
      </c>
      <c r="E35" s="967" t="s">
        <v>1365</v>
      </c>
      <c r="F35" s="968"/>
      <c r="G35" s="968"/>
      <c r="H35" s="968"/>
      <c r="I35" s="968"/>
      <c r="J35" s="969"/>
    </row>
    <row r="36" spans="1:10" ht="39.75" customHeight="1" x14ac:dyDescent="0.25">
      <c r="A36" s="565"/>
      <c r="B36" s="640"/>
      <c r="C36" s="107"/>
      <c r="D36" s="107"/>
      <c r="E36" s="970"/>
      <c r="F36" s="971"/>
      <c r="G36" s="971"/>
      <c r="H36" s="971"/>
      <c r="I36" s="971"/>
      <c r="J36" s="972"/>
    </row>
    <row r="37" spans="1:10" ht="39.75" customHeight="1" x14ac:dyDescent="0.25">
      <c r="A37" s="565"/>
      <c r="B37" s="640"/>
      <c r="C37" s="107"/>
      <c r="D37" s="107"/>
      <c r="E37" s="970"/>
      <c r="F37" s="971"/>
      <c r="G37" s="971"/>
      <c r="H37" s="971"/>
      <c r="I37" s="971"/>
      <c r="J37" s="972"/>
    </row>
    <row r="38" spans="1:10" ht="39.75" customHeight="1" x14ac:dyDescent="0.25">
      <c r="A38" s="565"/>
      <c r="B38" s="640"/>
      <c r="C38" s="107"/>
      <c r="D38" s="107"/>
      <c r="E38" s="970"/>
      <c r="F38" s="971"/>
      <c r="G38" s="971"/>
      <c r="H38" s="971"/>
      <c r="I38" s="971"/>
      <c r="J38" s="972"/>
    </row>
    <row r="39" spans="1:10" ht="16.5" customHeight="1" x14ac:dyDescent="0.25">
      <c r="A39" s="590"/>
      <c r="B39" s="568" t="s">
        <v>519</v>
      </c>
      <c r="C39" s="553">
        <f>SUM(C35:C38)</f>
        <v>1300000</v>
      </c>
      <c r="D39" s="553">
        <f>SUM(D35:D38)</f>
        <v>1444786</v>
      </c>
      <c r="E39" s="490"/>
      <c r="F39" s="482"/>
      <c r="G39" s="482"/>
      <c r="H39" s="482"/>
      <c r="I39" s="482"/>
    </row>
    <row r="40" spans="1:10" ht="16.5" customHeight="1" x14ac:dyDescent="0.25">
      <c r="A40" s="590"/>
      <c r="B40" s="589"/>
      <c r="C40" s="589"/>
      <c r="D40" s="490"/>
      <c r="E40" s="490"/>
      <c r="F40" s="482"/>
      <c r="G40" s="482"/>
      <c r="H40" s="482"/>
      <c r="I40" s="482"/>
    </row>
    <row r="41" spans="1:10" ht="19.5" customHeight="1" x14ac:dyDescent="0.25">
      <c r="A41" s="565" t="s">
        <v>33</v>
      </c>
      <c r="B41" s="689" t="s">
        <v>1316</v>
      </c>
      <c r="C41" s="178"/>
      <c r="D41" s="178"/>
      <c r="E41" s="178"/>
      <c r="F41" s="178"/>
      <c r="G41" s="178"/>
      <c r="H41" s="178"/>
      <c r="I41" s="178"/>
    </row>
    <row r="42" spans="1:10" x14ac:dyDescent="0.25">
      <c r="A42" s="491"/>
      <c r="B42" s="955"/>
      <c r="C42" s="956"/>
      <c r="D42" s="956"/>
      <c r="E42" s="956"/>
      <c r="F42" s="956"/>
      <c r="G42" s="956"/>
      <c r="H42" s="956"/>
      <c r="I42" s="957"/>
    </row>
    <row r="43" spans="1:10" x14ac:dyDescent="0.25">
      <c r="A43" s="4"/>
      <c r="B43" s="958"/>
      <c r="C43" s="959"/>
      <c r="D43" s="959"/>
      <c r="E43" s="959"/>
      <c r="F43" s="959"/>
      <c r="G43" s="959"/>
      <c r="H43" s="959"/>
      <c r="I43" s="960"/>
    </row>
    <row r="44" spans="1:10" ht="12.75" customHeight="1" x14ac:dyDescent="0.25">
      <c r="A44" s="4"/>
      <c r="B44" s="958"/>
      <c r="C44" s="959"/>
      <c r="D44" s="959"/>
      <c r="E44" s="959"/>
      <c r="F44" s="959"/>
      <c r="G44" s="959"/>
      <c r="H44" s="959"/>
      <c r="I44" s="960"/>
    </row>
    <row r="45" spans="1:10" x14ac:dyDescent="0.25">
      <c r="A45" s="4"/>
      <c r="B45" s="958"/>
      <c r="C45" s="959"/>
      <c r="D45" s="959"/>
      <c r="E45" s="959"/>
      <c r="F45" s="959"/>
      <c r="G45" s="959"/>
      <c r="H45" s="959"/>
      <c r="I45" s="960"/>
    </row>
    <row r="46" spans="1:10" x14ac:dyDescent="0.25">
      <c r="A46" s="4"/>
      <c r="B46" s="961"/>
      <c r="C46" s="962"/>
      <c r="D46" s="962"/>
      <c r="E46" s="962"/>
      <c r="F46" s="962"/>
      <c r="G46" s="962"/>
      <c r="H46" s="962"/>
      <c r="I46" s="963"/>
    </row>
  </sheetData>
  <sheetProtection sheet="1" objects="1" scenarios="1"/>
  <mergeCells count="16">
    <mergeCell ref="H1:I1"/>
    <mergeCell ref="A5:B5"/>
    <mergeCell ref="B30:E30"/>
    <mergeCell ref="A3:H3"/>
    <mergeCell ref="A12:B12"/>
    <mergeCell ref="A26:A27"/>
    <mergeCell ref="A25:B25"/>
    <mergeCell ref="A28:F28"/>
    <mergeCell ref="B29:E29"/>
    <mergeCell ref="B26:E26"/>
    <mergeCell ref="B42:I46"/>
    <mergeCell ref="E34:J34"/>
    <mergeCell ref="E35:J35"/>
    <mergeCell ref="E36:J36"/>
    <mergeCell ref="E37:J37"/>
    <mergeCell ref="E38:J38"/>
  </mergeCells>
  <conditionalFormatting sqref="B35:B38">
    <cfRule type="expression" dxfId="18" priority="9">
      <formula>$F$30="No"</formula>
    </cfRule>
  </conditionalFormatting>
  <conditionalFormatting sqref="B42">
    <cfRule type="expression" dxfId="17" priority="5">
      <formula>$F$30="No"</formula>
    </cfRule>
    <cfRule type="containsBlanks" dxfId="16" priority="6">
      <formula>LEN(TRIM(B42))=0</formula>
    </cfRule>
  </conditionalFormatting>
  <conditionalFormatting sqref="B35:E38">
    <cfRule type="containsBlanks" dxfId="15" priority="8">
      <formula>LEN(TRIM(B35))=0</formula>
    </cfRule>
  </conditionalFormatting>
  <conditionalFormatting sqref="C13:C20 F26:G26">
    <cfRule type="containsBlanks" dxfId="14" priority="34">
      <formula>LEN(TRIM(C13))=0</formula>
    </cfRule>
  </conditionalFormatting>
  <conditionalFormatting sqref="C39:D39">
    <cfRule type="containsBlanks" dxfId="13" priority="3">
      <formula>LEN(TRIM(C39))=0</formula>
    </cfRule>
  </conditionalFormatting>
  <conditionalFormatting sqref="E35:E38">
    <cfRule type="expression" dxfId="12" priority="7">
      <formula>$F$30="No"</formula>
    </cfRule>
  </conditionalFormatting>
  <conditionalFormatting sqref="F29:F30">
    <cfRule type="containsBlanks" dxfId="11" priority="1">
      <formula>LEN(TRIM(F29))=0</formula>
    </cfRule>
  </conditionalFormatting>
  <dataValidations count="5">
    <dataValidation type="list" allowBlank="1" showInputMessage="1" showErrorMessage="1" sqref="F31" xr:uid="{00000000-0002-0000-0D00-000000000000}">
      <formula1>$AA$25:$AA$27</formula1>
    </dataValidation>
    <dataValidation operator="equal" allowBlank="1" showInputMessage="1" showErrorMessage="1" promptTitle="CTD Number" prompt="This cell will only accept a CTD number of exactly 9 digits.  Enter 000 at the end of the charter number to fill the places of a school number." sqref="L1:L2" xr:uid="{00000000-0002-0000-0D00-000001000000}"/>
    <dataValidation type="textLength" operator="equal" allowBlank="1" showInputMessage="1" showErrorMessage="1" promptTitle="CTD Number" prompt="This cell will only accept a CTD number of exactly 9 digits.  Enter 000 at the end of the charter number to fill the places of a school number." sqref="TD1:TD2 ACZ1:ACZ2 AMV1:AMV2 AWR1:AWR2 BGN1:BGN2 BQJ1:BQJ2 CAF1:CAF2 CKB1:CKB2 CTX1:CTX2 DDT1:DDT2 DNP1:DNP2 DXL1:DXL2 EHH1:EHH2 ERD1:ERD2 FAZ1:FAZ2 FKV1:FKV2 FUR1:FUR2 GEN1:GEN2 GOJ1:GOJ2 GYF1:GYF2 HIB1:HIB2 HRX1:HRX2 IBT1:IBT2 ILP1:ILP2 IVL1:IVL2 JFH1:JFH2 JPD1:JPD2 JYZ1:JYZ2 KIV1:KIV2 KSR1:KSR2 LCN1:LCN2 LMJ1:LMJ2 LWF1:LWF2 MGB1:MGB2 MPX1:MPX2 MZT1:MZT2 NJP1:NJP2 NTL1:NTL2 ODH1:ODH2 OND1:OND2 OWZ1:OWZ2 PGV1:PGV2 PQR1:PQR2 QAN1:QAN2 QKJ1:QKJ2 QUF1:QUF2 REB1:REB2 RNX1:RNX2 RXT1:RXT2 SHP1:SHP2 SRL1:SRL2 TBH1:TBH2 TLD1:TLD2 TUZ1:TUZ2 UEV1:UEV2 UOR1:UOR2 UYN1:UYN2 VIJ1:VIJ2 VSF1:VSF2 WCB1:WCB2 WLX1:WLX2 WVT1:WVT2 JH1:JH2" xr:uid="{00000000-0002-0000-0D00-000002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JH3:JH4 TD3:TD4 ACZ3:ACZ4 AMV3:AMV4 AWR3:AWR4 BGN3:BGN4 BQJ3:BQJ4 CAF3:CAF4 CKB3:CKB4 CTX3:CTX4 DDT3:DDT4 DNP3:DNP4 DXL3:DXL4 EHH3:EHH4 ERD3:ERD4 FAZ3:FAZ4 FKV3:FKV4 FUR3:FUR4 GEN3:GEN4 GOJ3:GOJ4 GYF3:GYF4 HIB3:HIB4 HRX3:HRX4 IBT3:IBT4 ILP3:ILP4 IVL3:IVL4 JFH3:JFH4 JPD3:JPD4 JYZ3:JYZ4 KIV3:KIV4 KSR3:KSR4 LCN3:LCN4 LMJ3:LMJ4 LWF3:LWF4 MGB3:MGB4 MPX3:MPX4 MZT3:MZT4 NJP3:NJP4 NTL3:NTL4 ODH3:ODH4 OND3:OND4 OWZ3:OWZ4 PGV3:PGV4 PQR3:PQR4 QAN3:QAN4 QKJ3:QKJ4 QUF3:QUF4 REB3:REB4 RNX3:RNX4 RXT3:RXT4 SHP3:SHP4 SRL3:SRL4 TBH3:TBH4 TLD3:TLD4 TUZ3:TUZ4 UEV3:UEV4 UOR3:UOR4 UYN3:UYN4 VIJ3:VIJ4 VSF3:VSF4 WCB3:WCB4 WLX3:WLX4 WVT3:WVT4" xr:uid="{00000000-0002-0000-0D00-000003000000}">
      <formula1>9</formula1>
    </dataValidation>
    <dataValidation type="list" allowBlank="1" showInputMessage="1" showErrorMessage="1" sqref="F26 F29:F30" xr:uid="{00000000-0002-0000-0D00-000004000000}">
      <formula1>$AA$25:$AA$26</formula1>
    </dataValidation>
  </dataValidations>
  <hyperlinks>
    <hyperlink ref="A12" location="ReserveBalSecAl3" display="FY 2023 ending reserve details:" xr:uid="{00000000-0004-0000-0D00-000000000000}"/>
    <hyperlink ref="A18" location="ReserveBalSecAl3f" display="3.f" xr:uid="{00000000-0004-0000-0D00-000001000000}"/>
    <hyperlink ref="A19" location="ReserveBalSecAl3g" display="3.g" xr:uid="{00000000-0004-0000-0D00-000002000000}"/>
    <hyperlink ref="A13" location="ReserveBalSecAl3a" display="3.a" xr:uid="{00000000-0004-0000-0D00-000003000000}"/>
    <hyperlink ref="A16" location="ReserveBalSecAl3d" display="3.d" xr:uid="{00000000-0004-0000-0D00-000004000000}"/>
    <hyperlink ref="A15" location="ReserveBalSecAl3c" display="3.c" xr:uid="{00000000-0004-0000-0D00-000005000000}"/>
    <hyperlink ref="A14" location="ReserveBalSecAl3b" display="3.b" xr:uid="{00000000-0004-0000-0D00-000006000000}"/>
    <hyperlink ref="A11" location="ReserveBalSecAl2" display="2." xr:uid="{00000000-0004-0000-0D00-000007000000}"/>
    <hyperlink ref="A9" location="ReserveBalSecAl1" display="1." xr:uid="{00000000-0004-0000-0D00-000008000000}"/>
    <hyperlink ref="A5" location="ReserveBalSecA" display="A. FY 2023 change in reserve amounts and planned allocations" xr:uid="{00000000-0004-0000-0D00-000009000000}"/>
    <hyperlink ref="A17" location="ReserveBalSecAl3e" display="3.e" xr:uid="{00000000-0004-0000-0D00-00000A000000}"/>
  </hyperlinks>
  <pageMargins left="0.7" right="0.7" top="0.75" bottom="0.75" header="0.3" footer="0.3"/>
  <pageSetup scale="55" orientation="landscape" r:id="rId1"/>
  <headerFooter>
    <oddFooter>&amp;LRev. 8/25 Arizona Department of Education and Auditor General&amp;CFY 2025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93F4-B000-4C4C-9537-728E81288F93}">
  <sheetPr>
    <pageSetUpPr fitToPage="1"/>
  </sheetPr>
  <dimension ref="A1:L99"/>
  <sheetViews>
    <sheetView showGridLines="0" workbookViewId="0">
      <selection activeCell="F11" sqref="F11"/>
    </sheetView>
  </sheetViews>
  <sheetFormatPr defaultColWidth="9.6640625" defaultRowHeight="13.8" x14ac:dyDescent="0.25"/>
  <cols>
    <col min="1" max="1" width="25.6640625" style="498" customWidth="1"/>
    <col min="2" max="2" width="76.6640625" style="498" customWidth="1"/>
    <col min="3" max="4" width="23.6640625" style="498" customWidth="1"/>
    <col min="5" max="6" width="26.77734375" style="498" customWidth="1"/>
    <col min="7" max="7" width="45.77734375" style="498" customWidth="1"/>
    <col min="8" max="11" width="9.6640625" style="498" customWidth="1"/>
    <col min="12" max="12" width="8.77734375" style="498" hidden="1" customWidth="1"/>
    <col min="13" max="16" width="9.6640625" style="498" customWidth="1"/>
    <col min="17" max="16384" width="9.6640625" style="498"/>
  </cols>
  <sheetData>
    <row r="1" spans="1:12" x14ac:dyDescent="0.25">
      <c r="A1" s="496" t="s">
        <v>4</v>
      </c>
      <c r="B1" s="497" t="str">
        <f>'Cover Page'!D1</f>
        <v>Highland Prep West</v>
      </c>
      <c r="D1" s="986" t="s">
        <v>726</v>
      </c>
      <c r="E1" s="986"/>
    </row>
    <row r="2" spans="1:12" x14ac:dyDescent="0.25">
      <c r="A2" s="499" t="s">
        <v>2</v>
      </c>
      <c r="B2" s="500" t="str">
        <f>'Cover Page'!R1</f>
        <v>078419000</v>
      </c>
      <c r="D2" s="645"/>
    </row>
    <row r="3" spans="1:12" x14ac:dyDescent="0.25">
      <c r="A3" s="499" t="s">
        <v>1</v>
      </c>
      <c r="B3" s="497" t="str">
        <f>'Cover Page'!M1</f>
        <v>Maricopa</v>
      </c>
    </row>
    <row r="4" spans="1:12" x14ac:dyDescent="0.25">
      <c r="D4" s="983" t="s">
        <v>530</v>
      </c>
      <c r="E4" s="984"/>
      <c r="F4" s="984"/>
      <c r="G4" s="985"/>
    </row>
    <row r="6" spans="1:12" ht="27.6" x14ac:dyDescent="0.25">
      <c r="A6" s="501" t="s">
        <v>531</v>
      </c>
      <c r="B6" s="502" t="s">
        <v>532</v>
      </c>
      <c r="C6" s="501" t="s">
        <v>533</v>
      </c>
      <c r="D6" s="503" t="s">
        <v>534</v>
      </c>
      <c r="E6" s="501" t="s">
        <v>535</v>
      </c>
      <c r="F6" s="501" t="s">
        <v>536</v>
      </c>
      <c r="G6" s="501" t="s">
        <v>537</v>
      </c>
    </row>
    <row r="7" spans="1:12" x14ac:dyDescent="0.25">
      <c r="A7" s="504" t="s">
        <v>538</v>
      </c>
      <c r="B7" s="505" t="s">
        <v>538</v>
      </c>
      <c r="C7" s="506" t="str">
        <f>B2</f>
        <v>078419000</v>
      </c>
      <c r="D7" s="699"/>
      <c r="E7" s="9"/>
      <c r="F7" s="11"/>
      <c r="G7" s="12"/>
      <c r="L7" s="498" t="s">
        <v>539</v>
      </c>
    </row>
    <row r="8" spans="1:12" ht="13.5" customHeight="1" x14ac:dyDescent="0.25">
      <c r="A8" s="510" t="s">
        <v>540</v>
      </c>
      <c r="B8" s="511"/>
      <c r="C8" s="511"/>
      <c r="D8" s="511"/>
      <c r="E8" s="9"/>
      <c r="F8" s="11"/>
      <c r="G8" s="9"/>
      <c r="L8" s="498" t="s">
        <v>541</v>
      </c>
    </row>
    <row r="9" spans="1:12" x14ac:dyDescent="0.25">
      <c r="A9" s="504" t="s">
        <v>542</v>
      </c>
      <c r="B9" s="511"/>
      <c r="C9" s="511"/>
      <c r="D9" s="511"/>
      <c r="E9" s="511"/>
      <c r="F9" s="11"/>
      <c r="G9" s="511"/>
      <c r="L9" s="498" t="s">
        <v>543</v>
      </c>
    </row>
    <row r="10" spans="1:12" x14ac:dyDescent="0.25">
      <c r="A10" s="504" t="s">
        <v>544</v>
      </c>
      <c r="B10" s="9" t="s">
        <v>1358</v>
      </c>
      <c r="C10" s="10" t="s">
        <v>1360</v>
      </c>
      <c r="D10" s="699">
        <v>425</v>
      </c>
      <c r="E10" s="9"/>
      <c r="F10" s="11">
        <v>100</v>
      </c>
      <c r="G10" s="12"/>
      <c r="L10" s="498" t="s">
        <v>545</v>
      </c>
    </row>
    <row r="11" spans="1:12" x14ac:dyDescent="0.25">
      <c r="A11" s="504" t="s">
        <v>546</v>
      </c>
      <c r="B11" s="9"/>
      <c r="C11" s="10"/>
      <c r="D11" s="699"/>
      <c r="E11" s="9"/>
      <c r="F11" s="11"/>
      <c r="G11" s="12"/>
      <c r="L11" s="498" t="s">
        <v>547</v>
      </c>
    </row>
    <row r="12" spans="1:12" x14ac:dyDescent="0.25">
      <c r="A12" s="504" t="s">
        <v>548</v>
      </c>
      <c r="B12" s="9"/>
      <c r="C12" s="10"/>
      <c r="D12" s="699"/>
      <c r="E12" s="9"/>
      <c r="F12" s="11"/>
      <c r="G12" s="12"/>
      <c r="L12" s="498" t="s">
        <v>549</v>
      </c>
    </row>
    <row r="13" spans="1:12" x14ac:dyDescent="0.25">
      <c r="A13" s="504" t="s">
        <v>550</v>
      </c>
      <c r="B13" s="9"/>
      <c r="C13" s="10"/>
      <c r="D13" s="699"/>
      <c r="E13" s="9"/>
      <c r="F13" s="11"/>
      <c r="G13" s="12"/>
      <c r="L13" s="498" t="s">
        <v>551</v>
      </c>
    </row>
    <row r="14" spans="1:12" x14ac:dyDescent="0.25">
      <c r="A14" s="504" t="s">
        <v>552</v>
      </c>
      <c r="B14" s="9"/>
      <c r="C14" s="10"/>
      <c r="D14" s="699"/>
      <c r="E14" s="9"/>
      <c r="F14" s="11"/>
      <c r="G14" s="12"/>
      <c r="L14" s="498" t="s">
        <v>553</v>
      </c>
    </row>
    <row r="15" spans="1:12" x14ac:dyDescent="0.25">
      <c r="A15" s="504" t="s">
        <v>554</v>
      </c>
      <c r="B15" s="9"/>
      <c r="C15" s="10"/>
      <c r="D15" s="699"/>
      <c r="E15" s="9"/>
      <c r="F15" s="11"/>
      <c r="G15" s="12"/>
      <c r="L15" s="498" t="s">
        <v>555</v>
      </c>
    </row>
    <row r="16" spans="1:12" x14ac:dyDescent="0.25">
      <c r="A16" s="504" t="s">
        <v>556</v>
      </c>
      <c r="B16" s="9"/>
      <c r="C16" s="10"/>
      <c r="D16" s="699"/>
      <c r="E16" s="9"/>
      <c r="F16" s="11"/>
      <c r="G16" s="12"/>
      <c r="L16" s="498" t="s">
        <v>557</v>
      </c>
    </row>
    <row r="17" spans="1:12" x14ac:dyDescent="0.25">
      <c r="A17" s="504" t="s">
        <v>558</v>
      </c>
      <c r="B17" s="9"/>
      <c r="C17" s="10"/>
      <c r="D17" s="699"/>
      <c r="E17" s="9"/>
      <c r="F17" s="11"/>
      <c r="G17" s="12"/>
      <c r="L17" s="498" t="s">
        <v>559</v>
      </c>
    </row>
    <row r="18" spans="1:12" x14ac:dyDescent="0.25">
      <c r="A18" s="504" t="s">
        <v>560</v>
      </c>
      <c r="B18" s="9"/>
      <c r="C18" s="10"/>
      <c r="D18" s="699"/>
      <c r="E18" s="9"/>
      <c r="F18" s="11"/>
      <c r="G18" s="12"/>
      <c r="L18" s="498" t="s">
        <v>561</v>
      </c>
    </row>
    <row r="19" spans="1:12" x14ac:dyDescent="0.25">
      <c r="A19" s="504" t="s">
        <v>562</v>
      </c>
      <c r="B19" s="9"/>
      <c r="C19" s="10"/>
      <c r="D19" s="699"/>
      <c r="E19" s="9"/>
      <c r="F19" s="11"/>
      <c r="G19" s="12"/>
      <c r="L19" s="498" t="s">
        <v>563</v>
      </c>
    </row>
    <row r="20" spans="1:12" x14ac:dyDescent="0.25">
      <c r="A20" s="504" t="s">
        <v>564</v>
      </c>
      <c r="B20" s="9"/>
      <c r="C20" s="10"/>
      <c r="D20" s="699"/>
      <c r="E20" s="9"/>
      <c r="F20" s="11"/>
      <c r="G20" s="12"/>
      <c r="L20" s="498" t="s">
        <v>565</v>
      </c>
    </row>
    <row r="21" spans="1:12" x14ac:dyDescent="0.25">
      <c r="A21" s="504" t="s">
        <v>566</v>
      </c>
      <c r="B21" s="9"/>
      <c r="C21" s="10"/>
      <c r="D21" s="699"/>
      <c r="E21" s="9"/>
      <c r="F21" s="11"/>
      <c r="G21" s="12"/>
      <c r="L21" s="498" t="s">
        <v>567</v>
      </c>
    </row>
    <row r="22" spans="1:12" x14ac:dyDescent="0.25">
      <c r="A22" s="504" t="s">
        <v>568</v>
      </c>
      <c r="B22" s="9"/>
      <c r="C22" s="10"/>
      <c r="D22" s="699"/>
      <c r="E22" s="9"/>
      <c r="F22" s="11"/>
      <c r="G22" s="12"/>
      <c r="L22" s="498" t="s">
        <v>569</v>
      </c>
    </row>
    <row r="23" spans="1:12" x14ac:dyDescent="0.25">
      <c r="A23" s="504" t="s">
        <v>570</v>
      </c>
      <c r="B23" s="9"/>
      <c r="C23" s="10"/>
      <c r="D23" s="699"/>
      <c r="E23" s="9"/>
      <c r="F23" s="11"/>
      <c r="G23" s="12"/>
      <c r="L23" s="498" t="s">
        <v>571</v>
      </c>
    </row>
    <row r="24" spans="1:12" x14ac:dyDescent="0.25">
      <c r="A24" s="504" t="s">
        <v>572</v>
      </c>
      <c r="B24" s="9"/>
      <c r="C24" s="10"/>
      <c r="D24" s="699"/>
      <c r="E24" s="9"/>
      <c r="F24" s="11"/>
      <c r="G24" s="12"/>
      <c r="L24" s="498" t="s">
        <v>573</v>
      </c>
    </row>
    <row r="25" spans="1:12" x14ac:dyDescent="0.25">
      <c r="A25" s="504" t="s">
        <v>574</v>
      </c>
      <c r="B25" s="9"/>
      <c r="C25" s="10"/>
      <c r="D25" s="699"/>
      <c r="E25" s="9"/>
      <c r="F25" s="11"/>
      <c r="G25" s="12"/>
      <c r="L25" s="498" t="s">
        <v>575</v>
      </c>
    </row>
    <row r="26" spans="1:12" x14ac:dyDescent="0.25">
      <c r="A26" s="504" t="s">
        <v>576</v>
      </c>
      <c r="B26" s="9"/>
      <c r="C26" s="10"/>
      <c r="D26" s="699"/>
      <c r="E26" s="9"/>
      <c r="F26" s="11"/>
      <c r="G26" s="12"/>
      <c r="L26" s="498" t="s">
        <v>577</v>
      </c>
    </row>
    <row r="27" spans="1:12" x14ac:dyDescent="0.25">
      <c r="A27" s="504" t="s">
        <v>578</v>
      </c>
      <c r="B27" s="9"/>
      <c r="C27" s="10"/>
      <c r="D27" s="699"/>
      <c r="E27" s="9"/>
      <c r="F27" s="11"/>
      <c r="G27" s="12"/>
      <c r="L27" s="498" t="s">
        <v>579</v>
      </c>
    </row>
    <row r="28" spans="1:12" x14ac:dyDescent="0.25">
      <c r="A28" s="504" t="s">
        <v>580</v>
      </c>
      <c r="B28" s="9"/>
      <c r="C28" s="10"/>
      <c r="D28" s="699"/>
      <c r="E28" s="9"/>
      <c r="F28" s="11"/>
      <c r="G28" s="12"/>
      <c r="L28" s="498" t="s">
        <v>581</v>
      </c>
    </row>
    <row r="29" spans="1:12" x14ac:dyDescent="0.25">
      <c r="A29" s="504" t="s">
        <v>582</v>
      </c>
      <c r="B29" s="9"/>
      <c r="C29" s="10"/>
      <c r="D29" s="699"/>
      <c r="E29" s="9"/>
      <c r="F29" s="11"/>
      <c r="G29" s="12"/>
      <c r="L29" s="498" t="s">
        <v>583</v>
      </c>
    </row>
    <row r="30" spans="1:12" x14ac:dyDescent="0.25">
      <c r="A30" s="504" t="s">
        <v>584</v>
      </c>
      <c r="B30" s="9"/>
      <c r="C30" s="10"/>
      <c r="D30" s="699"/>
      <c r="E30" s="9"/>
      <c r="F30" s="11"/>
      <c r="G30" s="12"/>
      <c r="L30" s="498" t="s">
        <v>585</v>
      </c>
    </row>
    <row r="31" spans="1:12" x14ac:dyDescent="0.25">
      <c r="A31" s="504" t="s">
        <v>586</v>
      </c>
      <c r="B31" s="9"/>
      <c r="C31" s="10"/>
      <c r="D31" s="699"/>
      <c r="E31" s="9"/>
      <c r="F31" s="11"/>
      <c r="G31" s="12"/>
      <c r="L31" s="498" t="s">
        <v>587</v>
      </c>
    </row>
    <row r="32" spans="1:12" x14ac:dyDescent="0.25">
      <c r="A32" s="504" t="s">
        <v>588</v>
      </c>
      <c r="B32" s="9"/>
      <c r="C32" s="10"/>
      <c r="D32" s="699"/>
      <c r="E32" s="9"/>
      <c r="F32" s="11"/>
      <c r="G32" s="12"/>
      <c r="L32" s="498" t="s">
        <v>589</v>
      </c>
    </row>
    <row r="33" spans="1:12" x14ac:dyDescent="0.25">
      <c r="A33" s="504" t="s">
        <v>590</v>
      </c>
      <c r="B33" s="9"/>
      <c r="C33" s="10"/>
      <c r="D33" s="699"/>
      <c r="E33" s="9"/>
      <c r="F33" s="11"/>
      <c r="G33" s="12"/>
      <c r="L33" s="498" t="s">
        <v>591</v>
      </c>
    </row>
    <row r="34" spans="1:12" x14ac:dyDescent="0.25">
      <c r="A34" s="504" t="s">
        <v>592</v>
      </c>
      <c r="B34" s="9"/>
      <c r="C34" s="10"/>
      <c r="D34" s="699"/>
      <c r="E34" s="9"/>
      <c r="F34" s="11"/>
      <c r="G34" s="12"/>
      <c r="L34" s="498" t="s">
        <v>593</v>
      </c>
    </row>
    <row r="35" spans="1:12" hidden="1" x14ac:dyDescent="0.25">
      <c r="A35" s="504" t="s">
        <v>594</v>
      </c>
      <c r="B35" s="504"/>
      <c r="C35" s="506"/>
      <c r="D35" s="507"/>
      <c r="E35" s="504"/>
      <c r="F35" s="508"/>
      <c r="G35" s="509"/>
      <c r="L35" s="498" t="s">
        <v>595</v>
      </c>
    </row>
    <row r="36" spans="1:12" hidden="1" x14ac:dyDescent="0.25">
      <c r="A36" s="504" t="s">
        <v>596</v>
      </c>
      <c r="B36" s="504"/>
      <c r="C36" s="506"/>
      <c r="D36" s="507"/>
      <c r="E36" s="504"/>
      <c r="F36" s="508"/>
      <c r="G36" s="509"/>
      <c r="L36" s="498" t="s">
        <v>597</v>
      </c>
    </row>
    <row r="37" spans="1:12" hidden="1" x14ac:dyDescent="0.25">
      <c r="A37" s="504" t="s">
        <v>598</v>
      </c>
      <c r="B37" s="504"/>
      <c r="C37" s="506"/>
      <c r="D37" s="507"/>
      <c r="E37" s="504"/>
      <c r="F37" s="508"/>
      <c r="G37" s="509"/>
      <c r="L37" s="498" t="s">
        <v>599</v>
      </c>
    </row>
    <row r="38" spans="1:12" hidden="1" x14ac:dyDescent="0.25">
      <c r="A38" s="504" t="s">
        <v>600</v>
      </c>
      <c r="B38" s="504"/>
      <c r="C38" s="506"/>
      <c r="D38" s="507"/>
      <c r="E38" s="504"/>
      <c r="F38" s="508"/>
      <c r="G38" s="509"/>
      <c r="L38" s="498" t="s">
        <v>601</v>
      </c>
    </row>
    <row r="39" spans="1:12" hidden="1" x14ac:dyDescent="0.25">
      <c r="A39" s="504" t="s">
        <v>602</v>
      </c>
      <c r="B39" s="504"/>
      <c r="C39" s="506"/>
      <c r="D39" s="507"/>
      <c r="E39" s="504"/>
      <c r="F39" s="508"/>
      <c r="G39" s="509"/>
      <c r="L39" s="498" t="s">
        <v>603</v>
      </c>
    </row>
    <row r="40" spans="1:12" hidden="1" x14ac:dyDescent="0.25">
      <c r="A40" s="504" t="s">
        <v>604</v>
      </c>
      <c r="B40" s="504"/>
      <c r="C40" s="506"/>
      <c r="D40" s="507"/>
      <c r="E40" s="504"/>
      <c r="F40" s="508"/>
      <c r="G40" s="509"/>
      <c r="L40" s="498" t="s">
        <v>605</v>
      </c>
    </row>
    <row r="41" spans="1:12" hidden="1" x14ac:dyDescent="0.25">
      <c r="A41" s="504" t="s">
        <v>606</v>
      </c>
      <c r="B41" s="504"/>
      <c r="C41" s="506"/>
      <c r="D41" s="507"/>
      <c r="E41" s="504"/>
      <c r="F41" s="508"/>
      <c r="G41" s="509"/>
      <c r="L41" s="498" t="s">
        <v>607</v>
      </c>
    </row>
    <row r="42" spans="1:12" hidden="1" x14ac:dyDescent="0.25">
      <c r="A42" s="504" t="s">
        <v>608</v>
      </c>
      <c r="B42" s="504"/>
      <c r="C42" s="506"/>
      <c r="D42" s="507"/>
      <c r="E42" s="504"/>
      <c r="F42" s="508"/>
      <c r="G42" s="509"/>
      <c r="L42" s="498" t="s">
        <v>609</v>
      </c>
    </row>
    <row r="43" spans="1:12" hidden="1" x14ac:dyDescent="0.25">
      <c r="A43" s="504" t="s">
        <v>610</v>
      </c>
      <c r="B43" s="504"/>
      <c r="C43" s="506"/>
      <c r="D43" s="507"/>
      <c r="E43" s="504"/>
      <c r="F43" s="508"/>
      <c r="G43" s="509"/>
      <c r="L43" s="498" t="s">
        <v>611</v>
      </c>
    </row>
    <row r="44" spans="1:12" hidden="1" x14ac:dyDescent="0.25">
      <c r="A44" s="504" t="s">
        <v>612</v>
      </c>
      <c r="B44" s="504"/>
      <c r="C44" s="506"/>
      <c r="D44" s="507"/>
      <c r="E44" s="504"/>
      <c r="F44" s="508"/>
      <c r="G44" s="509"/>
      <c r="L44" s="498" t="s">
        <v>613</v>
      </c>
    </row>
    <row r="45" spans="1:12" hidden="1" x14ac:dyDescent="0.25">
      <c r="A45" s="504" t="s">
        <v>614</v>
      </c>
      <c r="B45" s="504"/>
      <c r="C45" s="506"/>
      <c r="D45" s="507"/>
      <c r="E45" s="504"/>
      <c r="F45" s="508"/>
      <c r="G45" s="509"/>
      <c r="L45" s="498" t="s">
        <v>615</v>
      </c>
    </row>
    <row r="46" spans="1:12" hidden="1" x14ac:dyDescent="0.25">
      <c r="A46" s="504" t="s">
        <v>616</v>
      </c>
      <c r="B46" s="504"/>
      <c r="C46" s="506"/>
      <c r="D46" s="507"/>
      <c r="E46" s="504"/>
      <c r="F46" s="508"/>
      <c r="G46" s="509"/>
      <c r="L46" s="498" t="s">
        <v>617</v>
      </c>
    </row>
    <row r="47" spans="1:12" hidden="1" x14ac:dyDescent="0.25">
      <c r="A47" s="504" t="s">
        <v>618</v>
      </c>
      <c r="B47" s="504"/>
      <c r="C47" s="506"/>
      <c r="D47" s="507"/>
      <c r="E47" s="504"/>
      <c r="F47" s="508"/>
      <c r="G47" s="509"/>
      <c r="L47" s="498" t="s">
        <v>619</v>
      </c>
    </row>
    <row r="48" spans="1:12" hidden="1" x14ac:dyDescent="0.25">
      <c r="A48" s="504" t="s">
        <v>620</v>
      </c>
      <c r="B48" s="504"/>
      <c r="C48" s="506"/>
      <c r="D48" s="507"/>
      <c r="E48" s="504"/>
      <c r="F48" s="508"/>
      <c r="G48" s="509"/>
      <c r="L48" s="498" t="s">
        <v>621</v>
      </c>
    </row>
    <row r="49" spans="1:12" hidden="1" x14ac:dyDescent="0.25">
      <c r="A49" s="504" t="s">
        <v>622</v>
      </c>
      <c r="B49" s="504"/>
      <c r="C49" s="506"/>
      <c r="D49" s="507"/>
      <c r="E49" s="504"/>
      <c r="F49" s="508"/>
      <c r="G49" s="509"/>
      <c r="L49" s="498" t="s">
        <v>623</v>
      </c>
    </row>
    <row r="50" spans="1:12" hidden="1" x14ac:dyDescent="0.25">
      <c r="A50" s="504" t="s">
        <v>624</v>
      </c>
      <c r="B50" s="504"/>
      <c r="C50" s="506"/>
      <c r="D50" s="507"/>
      <c r="E50" s="504"/>
      <c r="F50" s="508"/>
      <c r="G50" s="509"/>
      <c r="L50" s="498" t="s">
        <v>625</v>
      </c>
    </row>
    <row r="51" spans="1:12" hidden="1" x14ac:dyDescent="0.25">
      <c r="A51" s="504" t="s">
        <v>626</v>
      </c>
      <c r="B51" s="504"/>
      <c r="C51" s="506"/>
      <c r="D51" s="507"/>
      <c r="E51" s="504"/>
      <c r="F51" s="508"/>
      <c r="G51" s="509"/>
      <c r="L51" s="498" t="s">
        <v>627</v>
      </c>
    </row>
    <row r="52" spans="1:12" hidden="1" x14ac:dyDescent="0.25">
      <c r="A52" s="504" t="s">
        <v>628</v>
      </c>
      <c r="B52" s="504"/>
      <c r="C52" s="506"/>
      <c r="D52" s="507"/>
      <c r="E52" s="504"/>
      <c r="F52" s="508"/>
      <c r="G52" s="509"/>
      <c r="L52" s="498" t="s">
        <v>629</v>
      </c>
    </row>
    <row r="53" spans="1:12" hidden="1" x14ac:dyDescent="0.25">
      <c r="A53" s="504" t="s">
        <v>630</v>
      </c>
      <c r="B53" s="504"/>
      <c r="C53" s="506"/>
      <c r="D53" s="507"/>
      <c r="E53" s="504"/>
      <c r="F53" s="508"/>
      <c r="G53" s="509"/>
      <c r="L53" s="498" t="s">
        <v>631</v>
      </c>
    </row>
    <row r="54" spans="1:12" hidden="1" x14ac:dyDescent="0.25">
      <c r="A54" s="504" t="s">
        <v>632</v>
      </c>
      <c r="B54" s="504"/>
      <c r="C54" s="506"/>
      <c r="D54" s="507"/>
      <c r="E54" s="504"/>
      <c r="F54" s="508"/>
      <c r="G54" s="509"/>
      <c r="L54" s="498" t="s">
        <v>633</v>
      </c>
    </row>
    <row r="55" spans="1:12" hidden="1" x14ac:dyDescent="0.25">
      <c r="A55" s="504" t="s">
        <v>634</v>
      </c>
      <c r="B55" s="504"/>
      <c r="C55" s="506"/>
      <c r="D55" s="507"/>
      <c r="E55" s="504"/>
      <c r="F55" s="508"/>
      <c r="G55" s="509"/>
      <c r="L55" s="498" t="s">
        <v>635</v>
      </c>
    </row>
    <row r="56" spans="1:12" hidden="1" x14ac:dyDescent="0.25">
      <c r="A56" s="504" t="s">
        <v>636</v>
      </c>
      <c r="B56" s="504"/>
      <c r="C56" s="506"/>
      <c r="D56" s="507"/>
      <c r="E56" s="504"/>
      <c r="F56" s="508"/>
      <c r="G56" s="509"/>
      <c r="L56" s="498" t="s">
        <v>637</v>
      </c>
    </row>
    <row r="57" spans="1:12" hidden="1" x14ac:dyDescent="0.25">
      <c r="A57" s="504" t="s">
        <v>638</v>
      </c>
      <c r="B57" s="504"/>
      <c r="C57" s="506"/>
      <c r="D57" s="507"/>
      <c r="E57" s="504"/>
      <c r="F57" s="508"/>
      <c r="G57" s="509"/>
      <c r="L57" s="498" t="s">
        <v>639</v>
      </c>
    </row>
    <row r="58" spans="1:12" hidden="1" x14ac:dyDescent="0.25">
      <c r="A58" s="504" t="s">
        <v>640</v>
      </c>
      <c r="B58" s="504"/>
      <c r="C58" s="506"/>
      <c r="D58" s="507"/>
      <c r="E58" s="504"/>
      <c r="F58" s="508"/>
      <c r="G58" s="509"/>
      <c r="L58" s="498" t="s">
        <v>641</v>
      </c>
    </row>
    <row r="59" spans="1:12" hidden="1" x14ac:dyDescent="0.25">
      <c r="A59" s="504" t="s">
        <v>642</v>
      </c>
      <c r="B59" s="504"/>
      <c r="C59" s="506"/>
      <c r="D59" s="507"/>
      <c r="E59" s="504"/>
      <c r="F59" s="508"/>
      <c r="G59" s="509"/>
      <c r="L59" s="498" t="s">
        <v>643</v>
      </c>
    </row>
    <row r="60" spans="1:12" hidden="1" x14ac:dyDescent="0.25">
      <c r="A60" s="504" t="s">
        <v>644</v>
      </c>
      <c r="B60" s="504"/>
      <c r="C60" s="506"/>
      <c r="D60" s="507"/>
      <c r="E60" s="504"/>
      <c r="F60" s="508"/>
      <c r="G60" s="509"/>
      <c r="L60" s="498" t="s">
        <v>645</v>
      </c>
    </row>
    <row r="61" spans="1:12" hidden="1" x14ac:dyDescent="0.25">
      <c r="A61" s="504" t="s">
        <v>646</v>
      </c>
      <c r="B61" s="504"/>
      <c r="C61" s="506"/>
      <c r="D61" s="507"/>
      <c r="E61" s="504"/>
      <c r="F61" s="508"/>
      <c r="G61" s="509"/>
      <c r="L61" s="498" t="s">
        <v>647</v>
      </c>
    </row>
    <row r="62" spans="1:12" hidden="1" x14ac:dyDescent="0.25">
      <c r="A62" s="504" t="s">
        <v>648</v>
      </c>
      <c r="B62" s="504"/>
      <c r="C62" s="506"/>
      <c r="D62" s="507"/>
      <c r="E62" s="504"/>
      <c r="F62" s="508"/>
      <c r="G62" s="509"/>
      <c r="L62" s="498" t="s">
        <v>649</v>
      </c>
    </row>
    <row r="63" spans="1:12" hidden="1" x14ac:dyDescent="0.25">
      <c r="A63" s="504" t="s">
        <v>650</v>
      </c>
      <c r="B63" s="504"/>
      <c r="C63" s="506"/>
      <c r="D63" s="507"/>
      <c r="E63" s="504"/>
      <c r="F63" s="508"/>
      <c r="G63" s="509"/>
      <c r="L63" s="498" t="s">
        <v>651</v>
      </c>
    </row>
    <row r="64" spans="1:12" hidden="1" x14ac:dyDescent="0.25">
      <c r="A64" s="504" t="s">
        <v>652</v>
      </c>
      <c r="B64" s="504"/>
      <c r="C64" s="506"/>
      <c r="D64" s="507"/>
      <c r="E64" s="504"/>
      <c r="F64" s="508"/>
      <c r="G64" s="509"/>
      <c r="L64" s="498" t="s">
        <v>653</v>
      </c>
    </row>
    <row r="65" spans="1:12" hidden="1" x14ac:dyDescent="0.25">
      <c r="A65" s="504" t="s">
        <v>654</v>
      </c>
      <c r="B65" s="504"/>
      <c r="C65" s="506"/>
      <c r="D65" s="507"/>
      <c r="E65" s="504"/>
      <c r="F65" s="508"/>
      <c r="G65" s="509"/>
      <c r="L65" s="498" t="s">
        <v>655</v>
      </c>
    </row>
    <row r="66" spans="1:12" hidden="1" x14ac:dyDescent="0.25">
      <c r="A66" s="504" t="s">
        <v>656</v>
      </c>
      <c r="B66" s="504"/>
      <c r="C66" s="506"/>
      <c r="D66" s="507"/>
      <c r="E66" s="504"/>
      <c r="F66" s="508"/>
      <c r="G66" s="509"/>
      <c r="L66" s="498" t="s">
        <v>657</v>
      </c>
    </row>
    <row r="67" spans="1:12" hidden="1" x14ac:dyDescent="0.25">
      <c r="A67" s="504" t="s">
        <v>658</v>
      </c>
      <c r="B67" s="504"/>
      <c r="C67" s="506"/>
      <c r="D67" s="507"/>
      <c r="E67" s="504"/>
      <c r="F67" s="508"/>
      <c r="G67" s="509"/>
      <c r="L67" s="498" t="s">
        <v>659</v>
      </c>
    </row>
    <row r="68" spans="1:12" hidden="1" x14ac:dyDescent="0.25">
      <c r="A68" s="504" t="s">
        <v>660</v>
      </c>
      <c r="B68" s="504"/>
      <c r="C68" s="506"/>
      <c r="D68" s="507"/>
      <c r="E68" s="504"/>
      <c r="F68" s="508"/>
      <c r="G68" s="509"/>
      <c r="L68" s="498" t="s">
        <v>661</v>
      </c>
    </row>
    <row r="69" spans="1:12" hidden="1" x14ac:dyDescent="0.25">
      <c r="A69" s="504" t="s">
        <v>662</v>
      </c>
      <c r="B69" s="504"/>
      <c r="C69" s="506"/>
      <c r="D69" s="507"/>
      <c r="E69" s="504"/>
      <c r="F69" s="508"/>
      <c r="G69" s="509"/>
      <c r="L69" s="498" t="s">
        <v>663</v>
      </c>
    </row>
    <row r="70" spans="1:12" hidden="1" x14ac:dyDescent="0.25">
      <c r="A70" s="504" t="s">
        <v>664</v>
      </c>
      <c r="B70" s="504"/>
      <c r="C70" s="506"/>
      <c r="D70" s="507"/>
      <c r="E70" s="504"/>
      <c r="F70" s="508"/>
      <c r="G70" s="509"/>
      <c r="L70" s="498" t="s">
        <v>665</v>
      </c>
    </row>
    <row r="71" spans="1:12" hidden="1" x14ac:dyDescent="0.25">
      <c r="A71" s="504" t="s">
        <v>666</v>
      </c>
      <c r="B71" s="504"/>
      <c r="C71" s="506"/>
      <c r="D71" s="507"/>
      <c r="E71" s="504"/>
      <c r="F71" s="508"/>
      <c r="G71" s="509"/>
      <c r="L71" s="498" t="s">
        <v>667</v>
      </c>
    </row>
    <row r="72" spans="1:12" hidden="1" x14ac:dyDescent="0.25">
      <c r="A72" s="504" t="s">
        <v>668</v>
      </c>
      <c r="B72" s="504"/>
      <c r="C72" s="506"/>
      <c r="D72" s="507"/>
      <c r="E72" s="504"/>
      <c r="F72" s="508"/>
      <c r="G72" s="509"/>
      <c r="L72" s="498" t="s">
        <v>669</v>
      </c>
    </row>
    <row r="73" spans="1:12" hidden="1" x14ac:dyDescent="0.25">
      <c r="A73" s="504" t="s">
        <v>670</v>
      </c>
      <c r="B73" s="504"/>
      <c r="C73" s="506"/>
      <c r="D73" s="507"/>
      <c r="E73" s="504"/>
      <c r="F73" s="508"/>
      <c r="G73" s="509"/>
      <c r="L73" s="498" t="s">
        <v>671</v>
      </c>
    </row>
    <row r="74" spans="1:12" hidden="1" x14ac:dyDescent="0.25">
      <c r="A74" s="504" t="s">
        <v>672</v>
      </c>
      <c r="B74" s="504"/>
      <c r="C74" s="506"/>
      <c r="D74" s="507"/>
      <c r="E74" s="504"/>
      <c r="F74" s="508"/>
      <c r="G74" s="509"/>
      <c r="L74" s="498" t="s">
        <v>673</v>
      </c>
    </row>
    <row r="75" spans="1:12" hidden="1" x14ac:dyDescent="0.25">
      <c r="A75" s="504" t="s">
        <v>674</v>
      </c>
      <c r="B75" s="504"/>
      <c r="C75" s="506"/>
      <c r="D75" s="507"/>
      <c r="E75" s="504"/>
      <c r="F75" s="508"/>
      <c r="G75" s="509"/>
      <c r="L75" s="498" t="s">
        <v>675</v>
      </c>
    </row>
    <row r="76" spans="1:12" hidden="1" x14ac:dyDescent="0.25">
      <c r="A76" s="504" t="s">
        <v>676</v>
      </c>
      <c r="B76" s="504"/>
      <c r="C76" s="506"/>
      <c r="D76" s="507"/>
      <c r="E76" s="504"/>
      <c r="F76" s="508"/>
      <c r="G76" s="509"/>
      <c r="L76" s="498" t="s">
        <v>677</v>
      </c>
    </row>
    <row r="77" spans="1:12" hidden="1" x14ac:dyDescent="0.25">
      <c r="A77" s="504" t="s">
        <v>678</v>
      </c>
      <c r="B77" s="504"/>
      <c r="C77" s="506"/>
      <c r="D77" s="507"/>
      <c r="E77" s="504"/>
      <c r="F77" s="508"/>
      <c r="G77" s="509"/>
      <c r="L77" s="498" t="s">
        <v>679</v>
      </c>
    </row>
    <row r="78" spans="1:12" hidden="1" x14ac:dyDescent="0.25">
      <c r="A78" s="504" t="s">
        <v>680</v>
      </c>
      <c r="B78" s="504"/>
      <c r="C78" s="506"/>
      <c r="D78" s="507"/>
      <c r="E78" s="504"/>
      <c r="F78" s="508"/>
      <c r="G78" s="509"/>
      <c r="L78" s="498" t="s">
        <v>681</v>
      </c>
    </row>
    <row r="79" spans="1:12" hidden="1" x14ac:dyDescent="0.25">
      <c r="A79" s="504" t="s">
        <v>682</v>
      </c>
      <c r="B79" s="504"/>
      <c r="C79" s="506"/>
      <c r="D79" s="507"/>
      <c r="E79" s="504"/>
      <c r="F79" s="508"/>
      <c r="G79" s="509"/>
      <c r="L79" s="498" t="s">
        <v>683</v>
      </c>
    </row>
    <row r="80" spans="1:12" hidden="1" x14ac:dyDescent="0.25">
      <c r="A80" s="504" t="s">
        <v>684</v>
      </c>
      <c r="B80" s="504"/>
      <c r="C80" s="506"/>
      <c r="D80" s="507"/>
      <c r="E80" s="504"/>
      <c r="F80" s="508"/>
      <c r="G80" s="509"/>
      <c r="L80" s="498" t="s">
        <v>685</v>
      </c>
    </row>
    <row r="81" spans="1:12" hidden="1" x14ac:dyDescent="0.25">
      <c r="A81" s="504" t="s">
        <v>686</v>
      </c>
      <c r="B81" s="504"/>
      <c r="C81" s="506"/>
      <c r="D81" s="507"/>
      <c r="E81" s="504"/>
      <c r="F81" s="508"/>
      <c r="G81" s="509"/>
      <c r="L81" s="498" t="s">
        <v>687</v>
      </c>
    </row>
    <row r="82" spans="1:12" hidden="1" x14ac:dyDescent="0.25">
      <c r="A82" s="504" t="s">
        <v>688</v>
      </c>
      <c r="B82" s="504"/>
      <c r="C82" s="506"/>
      <c r="D82" s="507"/>
      <c r="E82" s="504"/>
      <c r="F82" s="508"/>
      <c r="G82" s="509"/>
      <c r="L82" s="498" t="s">
        <v>689</v>
      </c>
    </row>
    <row r="83" spans="1:12" hidden="1" x14ac:dyDescent="0.25">
      <c r="A83" s="504" t="s">
        <v>690</v>
      </c>
      <c r="B83" s="504"/>
      <c r="C83" s="506"/>
      <c r="D83" s="507"/>
      <c r="E83" s="504"/>
      <c r="F83" s="508"/>
      <c r="G83" s="509"/>
      <c r="L83" s="498" t="s">
        <v>691</v>
      </c>
    </row>
    <row r="84" spans="1:12" hidden="1" x14ac:dyDescent="0.25">
      <c r="A84" s="504" t="s">
        <v>692</v>
      </c>
      <c r="B84" s="504"/>
      <c r="C84" s="506"/>
      <c r="D84" s="507"/>
      <c r="E84" s="504"/>
      <c r="F84" s="508"/>
      <c r="G84" s="509"/>
      <c r="L84" s="498" t="s">
        <v>693</v>
      </c>
    </row>
    <row r="85" spans="1:12" hidden="1" x14ac:dyDescent="0.25">
      <c r="A85" s="504" t="s">
        <v>694</v>
      </c>
      <c r="B85" s="504"/>
      <c r="C85" s="506"/>
      <c r="D85" s="507"/>
      <c r="E85" s="504"/>
      <c r="F85" s="508"/>
      <c r="G85" s="509"/>
      <c r="L85" s="498" t="s">
        <v>695</v>
      </c>
    </row>
    <row r="86" spans="1:12" hidden="1" x14ac:dyDescent="0.25">
      <c r="A86" s="504" t="s">
        <v>696</v>
      </c>
      <c r="B86" s="504"/>
      <c r="C86" s="506"/>
      <c r="D86" s="507"/>
      <c r="E86" s="504"/>
      <c r="F86" s="508"/>
      <c r="G86" s="509"/>
      <c r="L86" s="498" t="s">
        <v>697</v>
      </c>
    </row>
    <row r="87" spans="1:12" hidden="1" x14ac:dyDescent="0.25">
      <c r="A87" s="504" t="s">
        <v>698</v>
      </c>
      <c r="B87" s="504"/>
      <c r="C87" s="506"/>
      <c r="D87" s="507"/>
      <c r="E87" s="504"/>
      <c r="F87" s="508"/>
      <c r="G87" s="509"/>
      <c r="L87" s="498" t="s">
        <v>699</v>
      </c>
    </row>
    <row r="88" spans="1:12" hidden="1" x14ac:dyDescent="0.25">
      <c r="A88" s="504" t="s">
        <v>700</v>
      </c>
      <c r="B88" s="504"/>
      <c r="C88" s="506"/>
      <c r="D88" s="507"/>
      <c r="E88" s="504"/>
      <c r="F88" s="508"/>
      <c r="G88" s="509"/>
      <c r="L88" s="498" t="s">
        <v>701</v>
      </c>
    </row>
    <row r="89" spans="1:12" hidden="1" x14ac:dyDescent="0.25">
      <c r="A89" s="504" t="s">
        <v>702</v>
      </c>
      <c r="B89" s="504"/>
      <c r="C89" s="506"/>
      <c r="D89" s="507"/>
      <c r="E89" s="504"/>
      <c r="F89" s="508"/>
      <c r="G89" s="509"/>
      <c r="L89" s="498" t="s">
        <v>703</v>
      </c>
    </row>
    <row r="90" spans="1:12" hidden="1" x14ac:dyDescent="0.25">
      <c r="A90" s="504" t="s">
        <v>704</v>
      </c>
      <c r="B90" s="504"/>
      <c r="C90" s="506"/>
      <c r="D90" s="507"/>
      <c r="E90" s="504"/>
      <c r="F90" s="508"/>
      <c r="G90" s="509"/>
      <c r="L90" s="498" t="s">
        <v>705</v>
      </c>
    </row>
    <row r="91" spans="1:12" hidden="1" x14ac:dyDescent="0.25">
      <c r="A91" s="504" t="s">
        <v>706</v>
      </c>
      <c r="B91" s="504"/>
      <c r="C91" s="506"/>
      <c r="D91" s="507"/>
      <c r="E91" s="504"/>
      <c r="F91" s="508"/>
      <c r="G91" s="509"/>
      <c r="L91" s="498" t="s">
        <v>707</v>
      </c>
    </row>
    <row r="92" spans="1:12" hidden="1" x14ac:dyDescent="0.25">
      <c r="A92" s="504" t="s">
        <v>708</v>
      </c>
      <c r="B92" s="504"/>
      <c r="C92" s="506"/>
      <c r="D92" s="507"/>
      <c r="E92" s="504"/>
      <c r="F92" s="508"/>
      <c r="G92" s="509"/>
      <c r="L92" s="498" t="s">
        <v>709</v>
      </c>
    </row>
    <row r="93" spans="1:12" hidden="1" x14ac:dyDescent="0.25">
      <c r="A93" s="504" t="s">
        <v>710</v>
      </c>
      <c r="B93" s="504"/>
      <c r="C93" s="506"/>
      <c r="D93" s="507"/>
      <c r="E93" s="504"/>
      <c r="F93" s="508"/>
      <c r="G93" s="509"/>
      <c r="L93" s="498" t="s">
        <v>711</v>
      </c>
    </row>
    <row r="94" spans="1:12" hidden="1" x14ac:dyDescent="0.25">
      <c r="A94" s="504" t="s">
        <v>712</v>
      </c>
      <c r="B94" s="504"/>
      <c r="C94" s="506"/>
      <c r="D94" s="507"/>
      <c r="E94" s="504"/>
      <c r="F94" s="508"/>
      <c r="G94" s="509"/>
      <c r="L94" s="498" t="s">
        <v>713</v>
      </c>
    </row>
    <row r="95" spans="1:12" hidden="1" x14ac:dyDescent="0.25">
      <c r="A95" s="504" t="s">
        <v>714</v>
      </c>
      <c r="B95" s="504"/>
      <c r="C95" s="506"/>
      <c r="D95" s="507"/>
      <c r="E95" s="504"/>
      <c r="F95" s="508"/>
      <c r="G95" s="509"/>
      <c r="L95" s="498" t="s">
        <v>715</v>
      </c>
    </row>
    <row r="96" spans="1:12" hidden="1" x14ac:dyDescent="0.25">
      <c r="A96" s="504" t="s">
        <v>716</v>
      </c>
      <c r="B96" s="504"/>
      <c r="C96" s="506"/>
      <c r="D96" s="507"/>
      <c r="E96" s="504"/>
      <c r="F96" s="508"/>
      <c r="G96" s="509"/>
      <c r="L96" s="498" t="s">
        <v>717</v>
      </c>
    </row>
    <row r="97" spans="1:12" hidden="1" x14ac:dyDescent="0.25">
      <c r="A97" s="504" t="s">
        <v>718</v>
      </c>
      <c r="B97" s="504"/>
      <c r="C97" s="506"/>
      <c r="D97" s="507"/>
      <c r="E97" s="504"/>
      <c r="F97" s="508"/>
      <c r="G97" s="509"/>
      <c r="L97" s="498" t="s">
        <v>719</v>
      </c>
    </row>
    <row r="98" spans="1:12" hidden="1" x14ac:dyDescent="0.25">
      <c r="A98" s="504" t="s">
        <v>720</v>
      </c>
      <c r="B98" s="504"/>
      <c r="C98" s="506"/>
      <c r="D98" s="507"/>
      <c r="E98" s="504"/>
      <c r="F98" s="508"/>
      <c r="G98" s="509"/>
      <c r="L98" s="498" t="s">
        <v>721</v>
      </c>
    </row>
    <row r="99" spans="1:12" hidden="1" x14ac:dyDescent="0.25">
      <c r="A99" s="504" t="s">
        <v>722</v>
      </c>
      <c r="B99" s="504"/>
      <c r="C99" s="506"/>
      <c r="D99" s="507"/>
      <c r="E99" s="504"/>
      <c r="F99" s="508"/>
      <c r="G99" s="509"/>
      <c r="L99" s="498" t="s">
        <v>723</v>
      </c>
    </row>
  </sheetData>
  <sheetProtection sheet="1" objects="1" scenarios="1"/>
  <mergeCells count="2">
    <mergeCell ref="D4:G4"/>
    <mergeCell ref="D1:E1"/>
  </mergeCells>
  <conditionalFormatting sqref="F10:F24">
    <cfRule type="expression" dxfId="10" priority="2" stopIfTrue="1">
      <formula>AND($B10&lt;&gt;"",$F10="")</formula>
    </cfRule>
  </conditionalFormatting>
  <dataValidations count="9">
    <dataValidation allowBlank="1" showInputMessage="1" showErrorMessage="1" prompt="Enter the primary unit code for Charterwide, Private School, and each school. Only 1 unit code should be entered for each, and a primary unit code can only be used once. Please refer to the USFRCS, page III-E-4 for guidance." sqref="F7" xr:uid="{00000000-0002-0000-0E00-000000000000}"/>
    <dataValidation allowBlank="1" showInputMessage="1" showErrorMessage="1" prompt="Enter the applicable unit code(s) used to code Charterwide, Private Schools, and school expenses. If more than one unit code was used for each, separate each unit code with a comma. For example (100, 101, 102)." sqref="E7:E24" xr:uid="{00000000-0002-0000-0E00-000001000000}"/>
    <dataValidation allowBlank="1" showInputMessage="1" showErrorMessage="1" prompt="Click on this line for detailed instructions." sqref="A1" xr:uid="{00000000-0002-0000-0E00-000002000000}"/>
    <dataValidation allowBlank="1" showInputMessage="1" showErrorMessage="1" prompt="Enter the 100th (or 200th) day student count." sqref="D10:D99" xr:uid="{00000000-0002-0000-0E00-000003000000}"/>
    <dataValidation type="textLength" operator="equal" allowBlank="1" showInputMessage="1" showErrorMessage="1" error="This cell will only accept entries equal to 9 digits." prompt="This cell will only accept entries equal to 9 digits. This number should not contain any slashes, dashes, etc." sqref="C10:C99" xr:uid="{00000000-0002-0000-0E00-000004000000}">
      <formula1>9</formula1>
    </dataValidation>
    <dataValidation allowBlank="1" showInputMessage="1" showErrorMessage="1" prompt="Enter the primary unit code for Districtwide, Private School, CTED (Member Districts) and each school. Only 1 unit code should be entered for each, and a primary unit code can only be used once." sqref="F25:F99" xr:uid="{00000000-0002-0000-0E00-000005000000}"/>
    <dataValidation allowBlank="1" showInputMessage="1" showErrorMessage="1" prompt="Enter the applicable unit code(s) used to code Districtwide, Private Schools, CTED (Member Districts) and school expenditures. If more than one unit code was used for each, separate each unit code with a comma. For example (100, 101, 102)." sqref="E25:E99" xr:uid="{00000000-0002-0000-0E00-000006000000}"/>
    <dataValidation operator="equal" allowBlank="1" showInputMessage="1" showErrorMessage="1" error="This cell will only accept entries equal to 9 digits." sqref="B2 C7" xr:uid="{00000000-0002-0000-0E00-000007000000}"/>
    <dataValidation type="whole" allowBlank="1" showInputMessage="1" showErrorMessage="1" errorTitle="Invalid primary unit code" error="Primary unit code should be a 3 digit number" prompt="Enter the primary unit code for Charterwide, Private School, and each school. Only 1 unit code should be entered for each, and a primary unit code can only be used once. Please refer to the USFRCS, page III-E-4 for guidance." sqref="F8:F24" xr:uid="{00000000-0002-0000-0E00-000008000000}">
      <formula1>100</formula1>
      <formula2>999</formula2>
    </dataValidation>
  </dataValidations>
  <hyperlinks>
    <hyperlink ref="A1" location="School_Listing_Tab" display="Charter name" xr:uid="{00000000-0004-0000-0E00-000000000000}"/>
    <hyperlink ref="D1" location="School_Listing_Tab" display="Instructions" xr:uid="{5BC37BC3-0C44-418C-B4FB-B28E87F53DE0}"/>
  </hyperlinks>
  <pageMargins left="0.7" right="0.7" top="0.75" bottom="0.75" header="0.3" footer="0.3"/>
  <pageSetup scale="55" orientation="landscape" r:id="rId1"/>
  <headerFooter>
    <oddFooter>&amp;LRev. 8/25 Arizona Department of Education and Auditor General&amp;CFY 2025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A252-750E-456B-B819-59FA95A19E5D}">
  <sheetPr>
    <pageSetUpPr fitToPage="1"/>
  </sheetPr>
  <dimension ref="A1:C17"/>
  <sheetViews>
    <sheetView showGridLines="0" topLeftCell="A24" workbookViewId="0"/>
  </sheetViews>
  <sheetFormatPr defaultColWidth="9.33203125" defaultRowHeight="63" customHeight="1" x14ac:dyDescent="0.25"/>
  <cols>
    <col min="1" max="1" width="132" customWidth="1"/>
    <col min="2" max="2" width="18.44140625" customWidth="1"/>
    <col min="3" max="3" width="71" hidden="1" customWidth="1"/>
  </cols>
  <sheetData>
    <row r="1" spans="1:3" ht="30" customHeight="1" x14ac:dyDescent="0.25">
      <c r="A1" s="493" t="str">
        <f>IF('Page 2'!J48=0,"",IF(OR(,Alerts!A3&lt;&gt;"",Alerts!A4&lt;&gt;"",Alerts!A5&lt;&gt;"",Alerts!A6&lt;&gt;"",Alerts!A7&lt;&gt;"",Alerts!A8&lt;&gt;"",Alerts!A9&lt;&gt;"",Alerts!A10&lt;&gt;"",Alerts!A11&lt;&gt;"",Alerts!A12&lt;&gt;"",Alerts!A13&lt;&gt;"",Alerts!A14&lt;&gt;"",Alerts!A15&lt;&gt;"",Alerts!A16&lt;&gt;""),"ALERT: The following items need to be addressed before the AFR is submitted",""))</f>
        <v/>
      </c>
    </row>
    <row r="2" spans="1:3" s="8" customFormat="1" ht="93" customHeight="1" x14ac:dyDescent="0.25">
      <c r="A2" s="589"/>
      <c r="B2" s="589"/>
      <c r="C2" s="488"/>
    </row>
    <row r="3" spans="1:3" s="8" customFormat="1" ht="112.5" customHeight="1" x14ac:dyDescent="0.25">
      <c r="A3" s="589" t="str">
        <f>IF('Page 2'!J48=0,"",IF(SUM('Page 3'!F26)+SUM('Page 4'!F17)+SUM('Page 5'!H8)+SUM('Page 5'!H30)&gt;'Page 1'!H30,C3,""))</f>
        <v/>
      </c>
      <c r="B3" s="589" t="str">
        <f>IF(A3="","","Restricted revenues-3200 on page 1 are not complete.")</f>
        <v/>
      </c>
      <c r="C3" s="494" t="s">
        <v>1118</v>
      </c>
    </row>
    <row r="4" spans="1:3" s="8" customFormat="1" ht="63" customHeight="1" x14ac:dyDescent="0.25">
      <c r="A4" s="589" t="str">
        <f>IF('Page 2'!J48=0,"",IF('Page 3'!F28&lt;=0,C4,""))</f>
        <v/>
      </c>
      <c r="B4" s="589" t="str">
        <f>IF(A4="","","Classroom Site Project revenue information on page 3 is not complete.")</f>
        <v/>
      </c>
      <c r="C4" s="494" t="s">
        <v>520</v>
      </c>
    </row>
    <row r="5" spans="1:3" s="8" customFormat="1" ht="78.75" customHeight="1" x14ac:dyDescent="0.25">
      <c r="A5" s="589" t="str">
        <f>IF('Page 2'!J48=0,"",IF('Page 4'!F17&lt;=0,C5,""))</f>
        <v/>
      </c>
      <c r="B5" s="589" t="str">
        <f>IF(A5="","","Instructional Improvement Project revenue on page 4 is not complete.")</f>
        <v/>
      </c>
      <c r="C5" s="494" t="s">
        <v>521</v>
      </c>
    </row>
    <row r="6" spans="1:3" s="8" customFormat="1" ht="55.5" customHeight="1" x14ac:dyDescent="0.25">
      <c r="A6" s="589" t="str">
        <f>IF('Page 2'!J48=0,"",IF(OR('Page 6'!G15="",'Page 6'!G16="",'Page 6'!G17="",'Page 6'!G18="",'Page 6'!G19=""),C6,""))</f>
        <v/>
      </c>
      <c r="B6" s="589" t="str">
        <f>IF(A6="","","Capital acquisition information on page 6, section C is not complete.")</f>
        <v/>
      </c>
      <c r="C6" s="494" t="s">
        <v>1119</v>
      </c>
    </row>
    <row r="7" spans="1:3" s="8" customFormat="1" ht="48.75" customHeight="1" x14ac:dyDescent="0.25">
      <c r="A7" s="589" t="str">
        <f>IF('Page 2'!J48=0,"",IF(OR('Page 6'!G33&lt;=0,'Page 6'!G35&lt;=0,'Page 6'!G34&lt;=0,'Page 6'!G38&lt;=0),C7,""))</f>
        <v/>
      </c>
      <c r="B7" s="589" t="str">
        <f>IF(A7="","","Current expenses on page 6, section E are not complete.")</f>
        <v/>
      </c>
      <c r="C7" s="494" t="s">
        <v>1120</v>
      </c>
    </row>
    <row r="8" spans="1:3" s="8" customFormat="1" ht="70.5" customHeight="1" x14ac:dyDescent="0.25">
      <c r="A8" s="589" t="str">
        <f>IF('Page 2'!J48=0,"",IF((SUM('Page 2'!J11,'Page 2'!J12,'Page 2'!J13,'Page 2'!J15,'Page 2'!J29,'Page 2'!J30,'Page 2'!J31,'Page 2'!J33))&gt;('Page 6'!G35),C8,""))</f>
        <v/>
      </c>
      <c r="B8" s="589" t="str">
        <f>IF(A8="","","Current administration expense on page 6, section E is not complete.")</f>
        <v/>
      </c>
      <c r="C8" s="494" t="s">
        <v>522</v>
      </c>
    </row>
    <row r="9" spans="1:3" s="8" customFormat="1" ht="39.75" customHeight="1" x14ac:dyDescent="0.25">
      <c r="A9" s="589" t="str">
        <f>IF('Page 2'!J48=0,"",IF(SUM('Page 6'!T6:T8)&lt;=0,C9,""))</f>
        <v/>
      </c>
      <c r="B9" s="589" t="str">
        <f>IF(A9="","","Page 6, section F, lines 1-3 are not complete.")</f>
        <v/>
      </c>
      <c r="C9" s="494" t="s">
        <v>523</v>
      </c>
    </row>
    <row r="10" spans="1:3" s="8" customFormat="1" ht="55.5" customHeight="1" x14ac:dyDescent="0.25">
      <c r="A10" s="589" t="str">
        <f>IF('Page 2'!J48=0,"",IF(SUM('Page 6'!M19:T23)&lt;=0,C10,""))</f>
        <v/>
      </c>
      <c r="B10" s="589" t="str">
        <f>IF(A10="","","Teacher salary information on page 6, section G is not complete.")</f>
        <v/>
      </c>
      <c r="C10" s="494" t="s">
        <v>524</v>
      </c>
    </row>
    <row r="11" spans="1:3" s="8" customFormat="1" ht="50.25" customHeight="1" x14ac:dyDescent="0.25">
      <c r="A11" s="589" t="str">
        <f>IF(SUM('Page 6'!T6:T8)=0,"",IF(AND(((SUM('Page 6'!M19:Q24,'Page 6'!T19:T24)/SUM('Page 6'!T6:T8))&gt;10000),(SUM('Page 6'!M19:Q24,'Page 6'!T19:T24)/SUM('Page 6'!T6:T8))&lt;80000),"",C11))</f>
        <v/>
      </c>
      <c r="B11" s="589" t="str">
        <f>IF(A11="","","Teacher FTE and salary information on page 6, sections F and G is not appropriate.")</f>
        <v/>
      </c>
      <c r="C11" s="494" t="s">
        <v>525</v>
      </c>
    </row>
    <row r="12" spans="1:3" s="8" customFormat="1" ht="57" customHeight="1" x14ac:dyDescent="0.25">
      <c r="A12" s="589" t="str">
        <f>IF('Page 2'!J48=0,"",IF(OR('Page 6'!T29="",'Page 6'!T29&lt;10000),C12,""))</f>
        <v/>
      </c>
      <c r="B12" s="589" t="str">
        <f>IF(A12="","","Average teacher salary information on page 6, section H is not complete.")</f>
        <v/>
      </c>
      <c r="C12" s="694" t="s">
        <v>1351</v>
      </c>
    </row>
    <row r="13" spans="1:3" s="8" customFormat="1" ht="84.75" customHeight="1" x14ac:dyDescent="0.25">
      <c r="A13" s="589" t="str">
        <f>IF('Page 2'!J48=0,"",IF(AND('Page 2'!J37&gt;0,'Page 7'!T23&lt;'Page 2'!J37),C13,""))</f>
        <v/>
      </c>
      <c r="B13" s="589" t="str">
        <f>IF(A13="","","Special education program information on page 7 is not complete.")</f>
        <v/>
      </c>
      <c r="C13" s="494" t="s">
        <v>526</v>
      </c>
    </row>
    <row r="14" spans="1:3" s="8" customFormat="1" ht="84.75" customHeight="1" x14ac:dyDescent="0.25">
      <c r="A14" s="589" t="str">
        <f>IF('Page 2'!J48=0,"",IF(OR('Page 9'!E41="",'Page 9'!E42="",'Page 9'!E43="",'Page 9'!E44="",('Page 9'!K23+'Page 9'!K26+SUM('Page 9'!E33:E36))&lt;&gt;(SUM('Page 9'!E41:E44))),C14,""))</f>
        <v/>
      </c>
      <c r="B14" s="589" t="str">
        <f>IF(A14="","","Property disbursement information on page 9 is not complete.")</f>
        <v/>
      </c>
      <c r="C14" s="494" t="s">
        <v>527</v>
      </c>
    </row>
    <row r="15" spans="1:3" s="8" customFormat="1" ht="90" customHeight="1" x14ac:dyDescent="0.25">
      <c r="A15" s="589" t="str">
        <f>IF('Page 2'!J48=0,"",IF((SUM('Page 2'!J48))&gt;(SUM('Page 9'!D23:J23)+SUM('Page 9'!D26:J26)+SUM('Page 9'!D33:D36)+'Page 9'!E48+'Page 9'!E50),C15,""))</f>
        <v/>
      </c>
      <c r="B15" s="589" t="str">
        <f>IF(A15="","","NPEFS information on page 9 is not complete.")</f>
        <v/>
      </c>
      <c r="C15" s="494" t="s">
        <v>528</v>
      </c>
    </row>
    <row r="16" spans="1:3" s="8" customFormat="1" ht="41.25" customHeight="1" x14ac:dyDescent="0.25">
      <c r="A16" s="589" t="str">
        <f>IF('Page 2'!J48=0,"",IF(OR('Page 8'!G25="",'Page 8'!H25="",'Page 8'!I25="",'Page 8'!K25="",'Page 8'!M25=""),C16,""))</f>
        <v/>
      </c>
      <c r="B16" s="589" t="str">
        <f>IF(A16="","","COVID-19 information on page 8, line 19 is not complete.")</f>
        <v/>
      </c>
      <c r="C16" s="494" t="s">
        <v>529</v>
      </c>
    </row>
    <row r="17" spans="1:1" ht="43.5" customHeight="1" x14ac:dyDescent="0.25">
      <c r="A17" s="495"/>
    </row>
  </sheetData>
  <sheetProtection sheet="1" formatCells="0" formatColumns="0" formatRows="0"/>
  <printOptions horizontalCentered="1"/>
  <pageMargins left="0.7" right="0.7" top="0.75" bottom="0.75" header="0.3" footer="0.3"/>
  <pageSetup scale="62" orientation="portrait" r:id="rId1"/>
  <headerFooter>
    <oddFooter>&amp;LRev. 8/25 Arizona Department of Education and Auditor General&amp;CFY 2025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C2CBE-2C82-46A1-A9FD-F3420802E110}">
  <sheetPr>
    <pageSetUpPr fitToPage="1"/>
  </sheetPr>
  <dimension ref="A1:Y50"/>
  <sheetViews>
    <sheetView showGridLines="0" topLeftCell="E1" zoomScaleNormal="100" workbookViewId="0">
      <selection activeCell="G22" sqref="G22"/>
    </sheetView>
  </sheetViews>
  <sheetFormatPr defaultColWidth="9.6640625" defaultRowHeight="14.4" x14ac:dyDescent="0.3"/>
  <cols>
    <col min="1" max="1" width="48" style="14" customWidth="1"/>
    <col min="2" max="2" width="45" style="14" customWidth="1"/>
    <col min="3" max="3" width="38.21875" style="14" customWidth="1"/>
    <col min="4" max="4" width="38" style="14" customWidth="1"/>
    <col min="5" max="5" width="40.21875" style="14" customWidth="1"/>
    <col min="6" max="6" width="43" style="14" customWidth="1"/>
    <col min="7" max="7" width="17.33203125" style="23" customWidth="1"/>
    <col min="8" max="8" width="24.6640625" style="14" bestFit="1" customWidth="1"/>
    <col min="9" max="9" width="22.33203125" style="14" bestFit="1" customWidth="1"/>
    <col min="10" max="10" width="16.33203125" style="14" bestFit="1" customWidth="1"/>
    <col min="11" max="11" width="13.33203125" style="14" bestFit="1" customWidth="1"/>
    <col min="12" max="12" width="9.6640625" style="14" customWidth="1"/>
    <col min="13" max="13" width="58.77734375" style="14" hidden="1" customWidth="1"/>
    <col min="14" max="14" width="55.33203125" style="14" hidden="1" customWidth="1"/>
    <col min="15" max="15" width="45.33203125" style="14" hidden="1" customWidth="1"/>
    <col min="16" max="16" width="90.21875" style="14" hidden="1" customWidth="1"/>
    <col min="17" max="24" width="9.6640625" style="14" customWidth="1"/>
    <col min="25" max="25" width="21.33203125" style="14" hidden="1" customWidth="1"/>
    <col min="26" max="29" width="9.6640625" style="14" customWidth="1"/>
    <col min="30" max="16384" width="9.6640625" style="14"/>
  </cols>
  <sheetData>
    <row r="1" spans="1:25" ht="48" customHeight="1" x14ac:dyDescent="0.3">
      <c r="A1" s="13" t="s">
        <v>859</v>
      </c>
      <c r="B1" s="13" t="s">
        <v>860</v>
      </c>
      <c r="C1" s="13" t="s">
        <v>861</v>
      </c>
      <c r="D1" s="13" t="s">
        <v>862</v>
      </c>
      <c r="E1" s="13" t="s">
        <v>863</v>
      </c>
      <c r="F1" s="13" t="s">
        <v>864</v>
      </c>
      <c r="G1" s="21" t="s">
        <v>865</v>
      </c>
      <c r="H1" s="13" t="s">
        <v>866</v>
      </c>
      <c r="I1" s="13" t="s">
        <v>867</v>
      </c>
      <c r="J1" s="13" t="s">
        <v>868</v>
      </c>
      <c r="K1" s="13" t="s">
        <v>869</v>
      </c>
      <c r="L1" s="13" t="s">
        <v>870</v>
      </c>
      <c r="M1" s="24" t="s">
        <v>871</v>
      </c>
      <c r="N1" s="24" t="s">
        <v>872</v>
      </c>
      <c r="O1" s="24" t="s">
        <v>873</v>
      </c>
      <c r="P1" s="24" t="s">
        <v>874</v>
      </c>
    </row>
    <row r="2" spans="1:25" ht="14.25" customHeight="1" x14ac:dyDescent="0.3">
      <c r="A2" s="605" t="s">
        <v>875</v>
      </c>
      <c r="B2" s="15"/>
      <c r="C2" s="15"/>
      <c r="D2" s="15"/>
      <c r="E2" s="15"/>
      <c r="F2" s="16"/>
      <c r="G2" s="22">
        <v>-4249051</v>
      </c>
      <c r="H2" s="15" t="s">
        <v>877</v>
      </c>
      <c r="I2" s="15" t="s">
        <v>21</v>
      </c>
      <c r="J2" s="15" t="s">
        <v>21</v>
      </c>
      <c r="K2" s="15" t="s">
        <v>946</v>
      </c>
      <c r="L2" s="15"/>
      <c r="Y2" s="14" t="s">
        <v>876</v>
      </c>
    </row>
    <row r="3" spans="1:25" ht="14.25" customHeight="1" x14ac:dyDescent="0.3">
      <c r="A3" s="15"/>
      <c r="B3" s="15"/>
      <c r="C3" s="15"/>
      <c r="D3" s="15"/>
      <c r="E3" s="15"/>
      <c r="F3" s="16"/>
      <c r="G3" s="22">
        <v>-479051</v>
      </c>
      <c r="H3" s="15" t="s">
        <v>878</v>
      </c>
      <c r="I3" s="15" t="s">
        <v>21</v>
      </c>
      <c r="J3" s="15" t="s">
        <v>21</v>
      </c>
      <c r="K3" s="15" t="s">
        <v>948</v>
      </c>
      <c r="L3" s="15"/>
      <c r="M3" s="17"/>
      <c r="N3" s="25" t="s">
        <v>876</v>
      </c>
      <c r="O3" s="25" t="s">
        <v>876</v>
      </c>
      <c r="P3" s="25" t="s">
        <v>876</v>
      </c>
      <c r="Y3" s="14" t="s">
        <v>21</v>
      </c>
    </row>
    <row r="4" spans="1:25" ht="14.25" customHeight="1" x14ac:dyDescent="0.3">
      <c r="A4" s="15"/>
      <c r="B4" s="15"/>
      <c r="C4" s="15"/>
      <c r="D4" s="15"/>
      <c r="E4" s="15"/>
      <c r="F4" s="16"/>
      <c r="G4" s="22">
        <v>-32467</v>
      </c>
      <c r="H4" s="15" t="s">
        <v>880</v>
      </c>
      <c r="I4" s="15" t="s">
        <v>21</v>
      </c>
      <c r="J4" s="15" t="s">
        <v>21</v>
      </c>
      <c r="K4" s="15" t="s">
        <v>948</v>
      </c>
      <c r="L4" s="15"/>
      <c r="M4" s="25"/>
      <c r="N4" s="25" t="s">
        <v>21</v>
      </c>
      <c r="O4" s="25" t="s">
        <v>21</v>
      </c>
      <c r="P4" s="25" t="s">
        <v>879</v>
      </c>
      <c r="Y4" s="14">
        <f>'School listing'!F7</f>
        <v>0</v>
      </c>
    </row>
    <row r="5" spans="1:25" ht="14.25" customHeight="1" x14ac:dyDescent="0.3">
      <c r="A5" s="28"/>
      <c r="B5" s="28"/>
      <c r="C5" s="28"/>
      <c r="D5" s="28"/>
      <c r="E5" s="28"/>
      <c r="F5" s="28"/>
      <c r="G5" s="22"/>
      <c r="H5" s="28"/>
      <c r="I5" s="28"/>
      <c r="J5" s="28"/>
      <c r="K5" s="15"/>
      <c r="L5" s="28"/>
      <c r="M5" s="25"/>
      <c r="N5" s="25" t="s">
        <v>881</v>
      </c>
      <c r="O5" s="25" t="s">
        <v>882</v>
      </c>
      <c r="P5" s="25" t="s">
        <v>883</v>
      </c>
      <c r="Y5" s="14">
        <f>'School listing'!F8</f>
        <v>0</v>
      </c>
    </row>
    <row r="6" spans="1:25" ht="14.25" customHeight="1" x14ac:dyDescent="0.3">
      <c r="A6" s="15"/>
      <c r="B6" s="15"/>
      <c r="C6" s="15"/>
      <c r="D6" s="15"/>
      <c r="E6" s="15"/>
      <c r="F6" s="16"/>
      <c r="G6" s="22">
        <f>-36340-33576</f>
        <v>-69916</v>
      </c>
      <c r="H6" s="15" t="s">
        <v>914</v>
      </c>
      <c r="I6" s="15" t="s">
        <v>21</v>
      </c>
      <c r="J6" s="15" t="s">
        <v>21</v>
      </c>
      <c r="K6" s="15" t="s">
        <v>952</v>
      </c>
      <c r="L6" s="15"/>
      <c r="M6" s="25"/>
      <c r="N6" s="25" t="s">
        <v>884</v>
      </c>
      <c r="O6" s="25" t="s">
        <v>885</v>
      </c>
      <c r="P6" s="25" t="s">
        <v>886</v>
      </c>
      <c r="Y6" s="14">
        <f>'School listing'!F9</f>
        <v>0</v>
      </c>
    </row>
    <row r="7" spans="1:25" ht="14.25" customHeight="1" x14ac:dyDescent="0.3">
      <c r="A7" s="15"/>
      <c r="B7" s="15"/>
      <c r="C7" s="15"/>
      <c r="D7" s="15"/>
      <c r="E7" s="15"/>
      <c r="F7" s="16"/>
      <c r="G7" s="22">
        <v>-51833</v>
      </c>
      <c r="H7" s="15" t="s">
        <v>890</v>
      </c>
      <c r="I7" s="15" t="s">
        <v>21</v>
      </c>
      <c r="J7" s="15" t="s">
        <v>21</v>
      </c>
      <c r="K7" s="15" t="s">
        <v>952</v>
      </c>
      <c r="L7" s="15"/>
      <c r="M7" s="25"/>
      <c r="N7" s="26" t="s">
        <v>887</v>
      </c>
      <c r="O7" s="25" t="s">
        <v>888</v>
      </c>
      <c r="P7" s="25" t="s">
        <v>889</v>
      </c>
      <c r="Y7" s="14">
        <f>'School listing'!F10</f>
        <v>100</v>
      </c>
    </row>
    <row r="8" spans="1:25" ht="14.25" customHeight="1" x14ac:dyDescent="0.3">
      <c r="A8" s="15"/>
      <c r="B8" s="15"/>
      <c r="C8" s="15"/>
      <c r="D8" s="15"/>
      <c r="E8" s="15"/>
      <c r="F8" s="16"/>
      <c r="G8" s="22">
        <v>-3600</v>
      </c>
      <c r="H8" s="15" t="s">
        <v>894</v>
      </c>
      <c r="I8" s="15" t="s">
        <v>21</v>
      </c>
      <c r="J8" s="15" t="s">
        <v>21</v>
      </c>
      <c r="K8" s="15" t="s">
        <v>952</v>
      </c>
      <c r="L8" s="15"/>
      <c r="M8" s="25"/>
      <c r="N8" s="26" t="s">
        <v>891</v>
      </c>
      <c r="O8" s="25" t="s">
        <v>892</v>
      </c>
      <c r="P8" s="25" t="s">
        <v>893</v>
      </c>
      <c r="Y8" s="14">
        <f>'School listing'!F11</f>
        <v>0</v>
      </c>
    </row>
    <row r="9" spans="1:25" ht="14.25" customHeight="1" x14ac:dyDescent="0.3">
      <c r="A9" s="15"/>
      <c r="B9" s="15"/>
      <c r="C9" s="20"/>
      <c r="D9" s="15"/>
      <c r="E9" s="15"/>
      <c r="F9" s="16"/>
      <c r="G9" s="22">
        <v>-3900</v>
      </c>
      <c r="H9" s="15" t="s">
        <v>910</v>
      </c>
      <c r="I9" s="15" t="s">
        <v>21</v>
      </c>
      <c r="J9" s="15" t="s">
        <v>21</v>
      </c>
      <c r="K9" s="15" t="s">
        <v>952</v>
      </c>
      <c r="L9" s="15"/>
      <c r="M9" s="25"/>
      <c r="N9" s="26" t="s">
        <v>895</v>
      </c>
      <c r="O9" s="25" t="s">
        <v>896</v>
      </c>
      <c r="P9" s="25" t="s">
        <v>897</v>
      </c>
      <c r="Y9" s="14">
        <f>'School listing'!F12</f>
        <v>0</v>
      </c>
    </row>
    <row r="10" spans="1:25" x14ac:dyDescent="0.3">
      <c r="F10" s="18"/>
      <c r="G10" s="22">
        <v>-196041</v>
      </c>
      <c r="H10" s="15" t="s">
        <v>938</v>
      </c>
      <c r="I10" s="15" t="s">
        <v>21</v>
      </c>
      <c r="J10" s="15" t="s">
        <v>21</v>
      </c>
      <c r="K10" s="15" t="s">
        <v>952</v>
      </c>
      <c r="L10" s="15"/>
      <c r="M10" s="25"/>
      <c r="N10" s="25" t="s">
        <v>898</v>
      </c>
      <c r="O10" s="25" t="s">
        <v>899</v>
      </c>
      <c r="P10" s="25" t="s">
        <v>900</v>
      </c>
      <c r="Y10" s="14">
        <f>'School listing'!F13</f>
        <v>0</v>
      </c>
    </row>
    <row r="11" spans="1:25" x14ac:dyDescent="0.3">
      <c r="G11" s="22">
        <v>713856</v>
      </c>
      <c r="H11" s="15" t="s">
        <v>877</v>
      </c>
      <c r="I11" s="15" t="s">
        <v>881</v>
      </c>
      <c r="J11" s="15" t="s">
        <v>882</v>
      </c>
      <c r="K11" s="15" t="s">
        <v>879</v>
      </c>
      <c r="L11" s="15"/>
      <c r="M11" s="25"/>
      <c r="N11" s="26" t="s">
        <v>901</v>
      </c>
      <c r="O11" s="25" t="s">
        <v>902</v>
      </c>
      <c r="P11" s="25" t="s">
        <v>903</v>
      </c>
      <c r="Y11" s="14">
        <f>'School listing'!F14</f>
        <v>0</v>
      </c>
    </row>
    <row r="12" spans="1:25" x14ac:dyDescent="0.3">
      <c r="G12" s="22">
        <v>61762</v>
      </c>
      <c r="H12" s="15" t="s">
        <v>877</v>
      </c>
      <c r="I12" s="15" t="s">
        <v>881</v>
      </c>
      <c r="J12" s="15" t="s">
        <v>882</v>
      </c>
      <c r="K12" s="15" t="s">
        <v>883</v>
      </c>
      <c r="L12" s="15"/>
      <c r="M12" s="25"/>
      <c r="N12" s="26" t="s">
        <v>904</v>
      </c>
      <c r="O12" s="25" t="s">
        <v>905</v>
      </c>
      <c r="P12" s="25" t="s">
        <v>906</v>
      </c>
      <c r="Y12" s="14">
        <f>'School listing'!F15</f>
        <v>0</v>
      </c>
    </row>
    <row r="13" spans="1:25" x14ac:dyDescent="0.3">
      <c r="G13" s="22">
        <v>451436</v>
      </c>
      <c r="H13" s="15" t="s">
        <v>877</v>
      </c>
      <c r="I13" s="15" t="s">
        <v>881</v>
      </c>
      <c r="J13" s="15" t="s">
        <v>882</v>
      </c>
      <c r="K13" s="15" t="s">
        <v>886</v>
      </c>
      <c r="L13" s="15"/>
      <c r="M13" s="25"/>
      <c r="N13" s="25" t="s">
        <v>907</v>
      </c>
      <c r="O13" s="25" t="s">
        <v>908</v>
      </c>
      <c r="P13" s="25" t="s">
        <v>909</v>
      </c>
      <c r="Y13" s="14">
        <f>'School listing'!F16</f>
        <v>0</v>
      </c>
    </row>
    <row r="14" spans="1:25" x14ac:dyDescent="0.3">
      <c r="G14" s="22">
        <v>489474</v>
      </c>
      <c r="H14" s="15" t="s">
        <v>877</v>
      </c>
      <c r="I14" s="15" t="s">
        <v>881</v>
      </c>
      <c r="J14" s="15" t="s">
        <v>882</v>
      </c>
      <c r="K14" s="15" t="s">
        <v>889</v>
      </c>
      <c r="L14" s="15"/>
      <c r="M14" s="25"/>
      <c r="N14" s="25" t="s">
        <v>911</v>
      </c>
      <c r="O14" s="25" t="s">
        <v>912</v>
      </c>
      <c r="P14" s="25" t="s">
        <v>913</v>
      </c>
      <c r="Y14" s="14">
        <f>'School listing'!F17</f>
        <v>0</v>
      </c>
    </row>
    <row r="15" spans="1:25" x14ac:dyDescent="0.3">
      <c r="G15" s="22"/>
      <c r="H15" s="15" t="s">
        <v>877</v>
      </c>
      <c r="I15" s="15" t="s">
        <v>881</v>
      </c>
      <c r="J15" s="15" t="s">
        <v>934</v>
      </c>
      <c r="K15" s="15" t="s">
        <v>897</v>
      </c>
      <c r="L15" s="15"/>
      <c r="M15" s="25"/>
      <c r="N15" s="25" t="s">
        <v>915</v>
      </c>
      <c r="O15" s="25" t="s">
        <v>916</v>
      </c>
      <c r="P15" s="27" t="s">
        <v>917</v>
      </c>
      <c r="Y15" s="14">
        <f>'School listing'!F18</f>
        <v>0</v>
      </c>
    </row>
    <row r="16" spans="1:25" x14ac:dyDescent="0.3">
      <c r="B16" s="19"/>
      <c r="G16" s="22">
        <v>6840</v>
      </c>
      <c r="H16" s="15" t="s">
        <v>877</v>
      </c>
      <c r="I16" s="15" t="s">
        <v>881</v>
      </c>
      <c r="J16" s="15" t="s">
        <v>888</v>
      </c>
      <c r="K16" s="15" t="s">
        <v>879</v>
      </c>
      <c r="L16" s="15"/>
      <c r="M16" s="25"/>
      <c r="N16" s="25" t="s">
        <v>918</v>
      </c>
      <c r="O16" s="25" t="s">
        <v>919</v>
      </c>
      <c r="P16" s="27" t="s">
        <v>920</v>
      </c>
      <c r="Y16" s="14">
        <f>'School listing'!F19</f>
        <v>0</v>
      </c>
    </row>
    <row r="17" spans="2:25" x14ac:dyDescent="0.3">
      <c r="B17" s="19"/>
      <c r="G17" s="22">
        <v>389</v>
      </c>
      <c r="H17" s="15" t="s">
        <v>877</v>
      </c>
      <c r="I17" s="15" t="s">
        <v>881</v>
      </c>
      <c r="J17" s="15" t="s">
        <v>888</v>
      </c>
      <c r="K17" s="15" t="s">
        <v>886</v>
      </c>
      <c r="L17" s="15"/>
      <c r="M17" s="25"/>
      <c r="N17" s="25" t="s">
        <v>921</v>
      </c>
      <c r="O17" s="25" t="s">
        <v>922</v>
      </c>
      <c r="P17" s="27" t="s">
        <v>923</v>
      </c>
      <c r="Y17" s="14">
        <f>'School listing'!F20</f>
        <v>0</v>
      </c>
    </row>
    <row r="18" spans="2:25" x14ac:dyDescent="0.3">
      <c r="B18" s="19"/>
      <c r="G18" s="22">
        <v>355</v>
      </c>
      <c r="H18" s="15" t="s">
        <v>877</v>
      </c>
      <c r="I18" s="15" t="s">
        <v>881</v>
      </c>
      <c r="J18" s="15" t="s">
        <v>888</v>
      </c>
      <c r="K18" s="15" t="s">
        <v>889</v>
      </c>
      <c r="L18" s="15"/>
      <c r="M18" s="25"/>
      <c r="N18" s="25" t="s">
        <v>924</v>
      </c>
      <c r="O18" s="25" t="s">
        <v>925</v>
      </c>
      <c r="P18" s="27" t="s">
        <v>926</v>
      </c>
      <c r="Y18" s="14">
        <f>'School listing'!F21</f>
        <v>0</v>
      </c>
    </row>
    <row r="19" spans="2:25" x14ac:dyDescent="0.3">
      <c r="G19" s="22">
        <v>227412</v>
      </c>
      <c r="H19" s="15" t="s">
        <v>877</v>
      </c>
      <c r="I19" s="15" t="s">
        <v>881</v>
      </c>
      <c r="J19" s="15" t="s">
        <v>905</v>
      </c>
      <c r="K19" s="15" t="s">
        <v>879</v>
      </c>
      <c r="L19" s="15"/>
      <c r="M19" s="25"/>
      <c r="N19" s="25" t="s">
        <v>927</v>
      </c>
      <c r="O19" s="25" t="s">
        <v>928</v>
      </c>
      <c r="P19" s="27" t="s">
        <v>929</v>
      </c>
      <c r="Y19" s="14">
        <f>'School listing'!F22</f>
        <v>0</v>
      </c>
    </row>
    <row r="20" spans="2:25" x14ac:dyDescent="0.3">
      <c r="G20" s="22">
        <v>24589</v>
      </c>
      <c r="H20" s="15" t="s">
        <v>877</v>
      </c>
      <c r="I20" s="15" t="s">
        <v>881</v>
      </c>
      <c r="J20" s="15" t="s">
        <v>905</v>
      </c>
      <c r="K20" s="15" t="s">
        <v>883</v>
      </c>
      <c r="L20" s="15"/>
      <c r="M20" s="25"/>
      <c r="N20" s="25" t="s">
        <v>930</v>
      </c>
      <c r="O20" s="25" t="s">
        <v>931</v>
      </c>
      <c r="P20" s="27" t="s">
        <v>932</v>
      </c>
      <c r="Y20" s="14">
        <f>'School listing'!F23</f>
        <v>0</v>
      </c>
    </row>
    <row r="21" spans="2:25" x14ac:dyDescent="0.3">
      <c r="G21" s="22">
        <v>287857</v>
      </c>
      <c r="H21" s="15" t="s">
        <v>877</v>
      </c>
      <c r="I21" s="15" t="s">
        <v>881</v>
      </c>
      <c r="J21" s="15" t="s">
        <v>905</v>
      </c>
      <c r="K21" s="15" t="s">
        <v>886</v>
      </c>
      <c r="L21" s="15"/>
      <c r="M21" s="25"/>
      <c r="N21" s="25" t="s">
        <v>933</v>
      </c>
      <c r="O21" s="25" t="s">
        <v>934</v>
      </c>
      <c r="P21" s="27" t="s">
        <v>935</v>
      </c>
      <c r="Y21" s="14">
        <f>'School listing'!F24</f>
        <v>0</v>
      </c>
    </row>
    <row r="22" spans="2:25" x14ac:dyDescent="0.3">
      <c r="G22" s="22">
        <v>38123</v>
      </c>
      <c r="H22" s="15" t="s">
        <v>877</v>
      </c>
      <c r="I22" s="15" t="s">
        <v>881</v>
      </c>
      <c r="J22" s="15" t="s">
        <v>905</v>
      </c>
      <c r="K22" s="15" t="s">
        <v>889</v>
      </c>
      <c r="L22" s="15"/>
      <c r="M22" s="25"/>
      <c r="P22" s="27" t="s">
        <v>936</v>
      </c>
    </row>
    <row r="23" spans="2:25" x14ac:dyDescent="0.3">
      <c r="G23" s="22">
        <v>7490</v>
      </c>
      <c r="H23" s="15" t="s">
        <v>877</v>
      </c>
      <c r="I23" s="15" t="s">
        <v>881</v>
      </c>
      <c r="J23" s="15" t="s">
        <v>934</v>
      </c>
      <c r="K23" s="15" t="s">
        <v>897</v>
      </c>
      <c r="L23" s="15"/>
      <c r="M23" s="25"/>
      <c r="P23" s="27" t="s">
        <v>937</v>
      </c>
    </row>
    <row r="24" spans="2:25" x14ac:dyDescent="0.3">
      <c r="G24" s="22">
        <v>26106</v>
      </c>
      <c r="H24" s="15" t="s">
        <v>877</v>
      </c>
      <c r="I24" s="15" t="s">
        <v>881</v>
      </c>
      <c r="J24" s="15" t="s">
        <v>908</v>
      </c>
      <c r="K24" s="15" t="s">
        <v>886</v>
      </c>
      <c r="L24" s="15"/>
      <c r="M24" s="25"/>
      <c r="P24" s="27" t="s">
        <v>939</v>
      </c>
    </row>
    <row r="25" spans="2:25" x14ac:dyDescent="0.3">
      <c r="G25" s="22"/>
      <c r="H25" s="15"/>
      <c r="I25" s="15"/>
      <c r="J25" s="15"/>
      <c r="K25" s="15"/>
      <c r="L25" s="15"/>
      <c r="M25" s="25"/>
      <c r="P25" s="672" t="s">
        <v>1264</v>
      </c>
    </row>
    <row r="26" spans="2:25" x14ac:dyDescent="0.3">
      <c r="G26" s="22">
        <v>53615</v>
      </c>
      <c r="H26" s="15" t="s">
        <v>877</v>
      </c>
      <c r="I26" s="15" t="s">
        <v>881</v>
      </c>
      <c r="J26" s="15" t="s">
        <v>908</v>
      </c>
      <c r="K26" s="15" t="s">
        <v>889</v>
      </c>
      <c r="L26" s="15"/>
      <c r="M26" s="25"/>
      <c r="P26" s="662" t="s">
        <v>1255</v>
      </c>
    </row>
    <row r="27" spans="2:25" x14ac:dyDescent="0.3">
      <c r="G27" s="22">
        <v>12409.43</v>
      </c>
      <c r="H27" s="15" t="s">
        <v>877</v>
      </c>
      <c r="I27" s="15" t="s">
        <v>881</v>
      </c>
      <c r="J27" s="15" t="s">
        <v>934</v>
      </c>
      <c r="K27" s="15" t="s">
        <v>897</v>
      </c>
      <c r="L27" s="15"/>
      <c r="M27" s="25"/>
      <c r="P27" s="27" t="s">
        <v>940</v>
      </c>
    </row>
    <row r="28" spans="2:25" x14ac:dyDescent="0.3">
      <c r="G28" s="22">
        <v>1004527</v>
      </c>
      <c r="H28" s="15" t="s">
        <v>877</v>
      </c>
      <c r="I28" s="15" t="s">
        <v>881</v>
      </c>
      <c r="J28" s="15" t="s">
        <v>912</v>
      </c>
      <c r="K28" s="15" t="s">
        <v>886</v>
      </c>
      <c r="L28" s="15"/>
      <c r="M28" s="25"/>
      <c r="P28" s="662" t="s">
        <v>1256</v>
      </c>
    </row>
    <row r="29" spans="2:25" x14ac:dyDescent="0.3">
      <c r="G29" s="22">
        <v>100</v>
      </c>
      <c r="H29" s="15" t="s">
        <v>877</v>
      </c>
      <c r="I29" s="15" t="s">
        <v>881</v>
      </c>
      <c r="J29" s="15" t="s">
        <v>912</v>
      </c>
      <c r="K29" s="15" t="s">
        <v>889</v>
      </c>
      <c r="L29" s="15"/>
      <c r="M29" s="25"/>
      <c r="P29" s="662" t="s">
        <v>1257</v>
      </c>
    </row>
    <row r="30" spans="2:25" x14ac:dyDescent="0.3">
      <c r="G30" s="22"/>
      <c r="H30" s="15" t="s">
        <v>877</v>
      </c>
      <c r="I30" s="15" t="s">
        <v>881</v>
      </c>
      <c r="J30" s="15" t="s">
        <v>912</v>
      </c>
      <c r="K30" s="15" t="s">
        <v>886</v>
      </c>
      <c r="L30" s="15"/>
      <c r="M30" s="25"/>
      <c r="P30" s="27" t="s">
        <v>942</v>
      </c>
    </row>
    <row r="31" spans="2:25" x14ac:dyDescent="0.3">
      <c r="G31" s="22">
        <v>37504</v>
      </c>
      <c r="H31" s="15" t="s">
        <v>877</v>
      </c>
      <c r="I31" s="15" t="s">
        <v>884</v>
      </c>
      <c r="J31" s="15" t="s">
        <v>882</v>
      </c>
      <c r="K31" s="15" t="s">
        <v>886</v>
      </c>
      <c r="L31" s="15"/>
      <c r="M31" s="25"/>
      <c r="P31" s="27" t="s">
        <v>943</v>
      </c>
    </row>
    <row r="32" spans="2:25" x14ac:dyDescent="0.3">
      <c r="G32" s="22"/>
      <c r="H32" s="15" t="s">
        <v>877</v>
      </c>
      <c r="I32" s="15" t="s">
        <v>884</v>
      </c>
      <c r="J32" s="15" t="s">
        <v>882</v>
      </c>
      <c r="K32" s="15" t="s">
        <v>889</v>
      </c>
      <c r="L32" s="15"/>
      <c r="M32" s="25"/>
      <c r="P32" s="27" t="s">
        <v>944</v>
      </c>
    </row>
    <row r="33" spans="7:16" x14ac:dyDescent="0.3">
      <c r="G33" s="22"/>
      <c r="H33" s="15" t="s">
        <v>877</v>
      </c>
      <c r="I33" s="15" t="s">
        <v>884</v>
      </c>
      <c r="J33" s="15" t="s">
        <v>888</v>
      </c>
      <c r="K33" s="15" t="s">
        <v>886</v>
      </c>
      <c r="L33" s="15"/>
      <c r="M33" s="25"/>
      <c r="P33" s="27" t="s">
        <v>945</v>
      </c>
    </row>
    <row r="34" spans="7:16" x14ac:dyDescent="0.3">
      <c r="G34" s="22"/>
      <c r="H34" s="15" t="s">
        <v>941</v>
      </c>
      <c r="I34" s="15" t="s">
        <v>881</v>
      </c>
      <c r="J34" s="15" t="s">
        <v>882</v>
      </c>
      <c r="K34" s="15" t="s">
        <v>886</v>
      </c>
      <c r="L34" s="15"/>
      <c r="M34" s="25"/>
      <c r="P34" s="27" t="s">
        <v>946</v>
      </c>
    </row>
    <row r="35" spans="7:16" x14ac:dyDescent="0.3">
      <c r="G35" s="22">
        <v>8911</v>
      </c>
      <c r="H35" s="15" t="s">
        <v>877</v>
      </c>
      <c r="I35" s="15" t="s">
        <v>898</v>
      </c>
      <c r="J35" s="15" t="s">
        <v>916</v>
      </c>
      <c r="K35" s="15" t="s">
        <v>889</v>
      </c>
      <c r="L35" s="15"/>
      <c r="M35" s="25"/>
      <c r="P35" s="27" t="s">
        <v>947</v>
      </c>
    </row>
    <row r="36" spans="7:16" x14ac:dyDescent="0.3">
      <c r="G36" s="22">
        <v>151489</v>
      </c>
      <c r="H36" s="15" t="s">
        <v>877</v>
      </c>
      <c r="I36" s="15" t="s">
        <v>921</v>
      </c>
      <c r="J36" s="15" t="s">
        <v>919</v>
      </c>
      <c r="K36" s="15" t="s">
        <v>889</v>
      </c>
      <c r="L36" s="15"/>
      <c r="M36" s="25"/>
      <c r="P36" s="27" t="s">
        <v>948</v>
      </c>
    </row>
    <row r="37" spans="7:16" x14ac:dyDescent="0.3">
      <c r="G37" s="22">
        <v>486625</v>
      </c>
      <c r="H37" s="15" t="s">
        <v>878</v>
      </c>
      <c r="I37" s="15" t="s">
        <v>881</v>
      </c>
      <c r="J37" s="15" t="s">
        <v>882</v>
      </c>
      <c r="K37" s="15" t="s">
        <v>879</v>
      </c>
      <c r="L37" s="15"/>
      <c r="M37" s="25"/>
      <c r="P37" s="27" t="s">
        <v>949</v>
      </c>
    </row>
    <row r="38" spans="7:16" x14ac:dyDescent="0.3">
      <c r="G38" s="22">
        <v>32467</v>
      </c>
      <c r="H38" s="15" t="s">
        <v>880</v>
      </c>
      <c r="I38" s="15" t="s">
        <v>881</v>
      </c>
      <c r="J38" s="15" t="s">
        <v>882</v>
      </c>
      <c r="K38" s="15" t="s">
        <v>879</v>
      </c>
      <c r="L38" s="15"/>
      <c r="M38" s="25"/>
      <c r="P38" s="27" t="s">
        <v>950</v>
      </c>
    </row>
    <row r="39" spans="7:16" x14ac:dyDescent="0.3">
      <c r="G39" s="22">
        <v>69916</v>
      </c>
      <c r="H39" s="15" t="s">
        <v>914</v>
      </c>
      <c r="I39" s="15" t="s">
        <v>884</v>
      </c>
      <c r="J39" s="15" t="s">
        <v>882</v>
      </c>
      <c r="K39" s="15" t="s">
        <v>886</v>
      </c>
      <c r="L39" s="15"/>
      <c r="M39" s="25"/>
      <c r="P39" s="27" t="s">
        <v>951</v>
      </c>
    </row>
    <row r="40" spans="7:16" x14ac:dyDescent="0.3">
      <c r="G40" s="22">
        <v>51833</v>
      </c>
      <c r="H40" s="15" t="s">
        <v>890</v>
      </c>
      <c r="I40" s="15" t="s">
        <v>881</v>
      </c>
      <c r="J40" s="15" t="s">
        <v>882</v>
      </c>
      <c r="K40" s="15" t="s">
        <v>879</v>
      </c>
      <c r="L40" s="15"/>
      <c r="M40" s="25"/>
      <c r="P40" s="27" t="s">
        <v>952</v>
      </c>
    </row>
    <row r="41" spans="7:16" x14ac:dyDescent="0.3">
      <c r="G41" s="22">
        <v>3600</v>
      </c>
      <c r="H41" s="15" t="s">
        <v>894</v>
      </c>
      <c r="I41" s="15" t="s">
        <v>881</v>
      </c>
      <c r="J41" s="15" t="s">
        <v>882</v>
      </c>
      <c r="K41" s="15" t="s">
        <v>879</v>
      </c>
      <c r="L41" s="15"/>
      <c r="M41" s="25"/>
      <c r="P41" s="27" t="s">
        <v>953</v>
      </c>
    </row>
    <row r="42" spans="7:16" x14ac:dyDescent="0.3">
      <c r="G42" s="23">
        <v>196041</v>
      </c>
      <c r="H42" s="14" t="s">
        <v>938</v>
      </c>
      <c r="I42" s="14" t="s">
        <v>881</v>
      </c>
      <c r="J42" s="14" t="s">
        <v>882</v>
      </c>
      <c r="K42" s="14" t="s">
        <v>889</v>
      </c>
      <c r="P42" s="27" t="s">
        <v>954</v>
      </c>
    </row>
    <row r="43" spans="7:16" x14ac:dyDescent="0.3">
      <c r="G43" s="23">
        <v>-86110</v>
      </c>
      <c r="H43" s="14" t="s">
        <v>877</v>
      </c>
      <c r="I43" s="14" t="s">
        <v>21</v>
      </c>
      <c r="J43" s="14" t="s">
        <v>21</v>
      </c>
      <c r="K43" s="14" t="s">
        <v>932</v>
      </c>
      <c r="P43" s="27" t="s">
        <v>956</v>
      </c>
    </row>
    <row r="44" spans="7:16" x14ac:dyDescent="0.3">
      <c r="G44" s="23">
        <v>1</v>
      </c>
      <c r="H44" s="14" t="s">
        <v>877</v>
      </c>
      <c r="I44" s="14" t="s">
        <v>881</v>
      </c>
      <c r="J44" s="14" t="s">
        <v>892</v>
      </c>
      <c r="K44" s="14" t="s">
        <v>886</v>
      </c>
      <c r="P44" s="27" t="s">
        <v>957</v>
      </c>
    </row>
    <row r="45" spans="7:16" x14ac:dyDescent="0.3">
      <c r="G45" s="23">
        <v>-11567</v>
      </c>
      <c r="H45" s="14" t="s">
        <v>877</v>
      </c>
      <c r="I45" s="14" t="s">
        <v>21</v>
      </c>
      <c r="J45" s="14" t="s">
        <v>21</v>
      </c>
      <c r="K45" s="14" t="s">
        <v>935</v>
      </c>
    </row>
    <row r="46" spans="7:16" x14ac:dyDescent="0.3">
      <c r="G46" s="23">
        <f>-135050-39483</f>
        <v>-174533</v>
      </c>
      <c r="H46" s="14" t="s">
        <v>955</v>
      </c>
      <c r="I46" s="14" t="s">
        <v>21</v>
      </c>
      <c r="J46" s="14" t="s">
        <v>21</v>
      </c>
      <c r="K46" s="14" t="s">
        <v>948</v>
      </c>
    </row>
    <row r="47" spans="7:16" x14ac:dyDescent="0.3">
      <c r="G47" s="23">
        <v>174533</v>
      </c>
      <c r="H47" s="14" t="s">
        <v>955</v>
      </c>
      <c r="I47" s="14" t="s">
        <v>881</v>
      </c>
      <c r="J47" s="14" t="s">
        <v>888</v>
      </c>
      <c r="K47" s="14" t="s">
        <v>886</v>
      </c>
    </row>
    <row r="48" spans="7:16" x14ac:dyDescent="0.3">
      <c r="G48" s="23">
        <v>3900</v>
      </c>
      <c r="H48" s="14" t="s">
        <v>910</v>
      </c>
      <c r="I48" s="14" t="s">
        <v>881</v>
      </c>
      <c r="J48" s="14" t="s">
        <v>882</v>
      </c>
      <c r="K48" s="14" t="s">
        <v>879</v>
      </c>
    </row>
    <row r="49" spans="7:11" x14ac:dyDescent="0.3">
      <c r="G49" s="23">
        <v>109514</v>
      </c>
      <c r="H49" s="14" t="s">
        <v>941</v>
      </c>
      <c r="I49" s="14" t="s">
        <v>881</v>
      </c>
      <c r="J49" s="14" t="s">
        <v>922</v>
      </c>
      <c r="K49" s="14" t="s">
        <v>886</v>
      </c>
    </row>
    <row r="50" spans="7:11" x14ac:dyDescent="0.3">
      <c r="G50" s="23">
        <v>-109514</v>
      </c>
      <c r="H50" s="14" t="s">
        <v>941</v>
      </c>
      <c r="I50" s="14" t="s">
        <v>21</v>
      </c>
      <c r="J50" s="14" t="s">
        <v>21</v>
      </c>
      <c r="K50" s="14" t="s">
        <v>952</v>
      </c>
    </row>
  </sheetData>
  <autoFilter ref="A1:L4340" xr:uid="{00000000-0009-0000-0000-000011000000}"/>
  <conditionalFormatting sqref="E2:E65536">
    <cfRule type="expression" dxfId="9" priority="13" stopIfTrue="1">
      <formula>AND($E2&lt;&gt;#REF!,$E2&gt;0)</formula>
    </cfRule>
  </conditionalFormatting>
  <conditionalFormatting sqref="F2:F65536">
    <cfRule type="expression" dxfId="8" priority="12" stopIfTrue="1">
      <formula>AND($F2&lt;&gt;#REF!,$F2&gt;0)</formula>
    </cfRule>
  </conditionalFormatting>
  <conditionalFormatting sqref="H2:L37000">
    <cfRule type="containsBlanks" dxfId="7" priority="14" stopIfTrue="1">
      <formula>LEN(TRIM(H2))=0</formula>
    </cfRule>
  </conditionalFormatting>
  <conditionalFormatting sqref="I2:I37000">
    <cfRule type="expression" dxfId="6" priority="7" stopIfTrue="1">
      <formula>AND(LEFT($J2,4)="2700",OR(LEFT($I2,2)="Ba",LEFT($I2,2)="Re",LEFT($I2,3)="100",LEFT($I2,1)="2", LEFT($I2,1)="5", LEFT($I2,1)="6", LEFT($I2,3)="700", LEFT($I2,3)="800", LEFT($I2,3)="900"))</formula>
    </cfRule>
    <cfRule type="expression" dxfId="5" priority="8" stopIfTrue="1">
      <formula>AND(LEFT($H2,4)="1072",OR(LEFT($I2,3)="100",LEFT($I2,3)="200",LEFT($I2,3)="260",LEFT($I2,3)="270",LEFT($I2,3)="400", LEFT($I2,3)="430", LEFT($I2,1)="5", LEFT($I2,1)="6", LEFT($I2,3)="700", LEFT($I2,3)="800", LEFT($I2,3)="900"))</formula>
    </cfRule>
    <cfRule type="expression" dxfId="4" priority="11" stopIfTrue="1">
      <formula>AND(LEFT($H2,4)="1071",OR(LEFT($I2,3)="100",LEFT($I2,3)="200",LEFT($I2,3)="265",LEFT($I2,3)="270",LEFT($I2,3)="400", LEFT($I2,3)="435", LEFT($I2,1)="5", LEFT($I2,1)="6", LEFT($I2,3)="700", LEFT($I2,3)="800", LEFT($I2,3)="900"))</formula>
    </cfRule>
  </conditionalFormatting>
  <conditionalFormatting sqref="J2:J37000">
    <cfRule type="expression" dxfId="3" priority="1" stopIfTrue="1">
      <formula>AND(LEFT($K2,3)="682",OR(LEFT($J2,1)="B",LEFT($J2,1)="R",LEFT($J2,1)="1",LEFT($J2,2)="21",LEFT($J2,2)="22",LEFT($J2,2)="24",LEFT($J2,2)="25",LEFT($J2,2)="26",LEFT($J2,2)="27",LEFT($J2,2)="29",LEFT($J2,1)="3",LEFT($J2,1)="4",LEFT($J2,1)="5"))</formula>
    </cfRule>
    <cfRule type="expression" dxfId="2" priority="2" stopIfTrue="1">
      <formula>AND(LEFT($K2,3)="685",OR(LEFT($J2,1)="B",LEFT($J2,1)="R",LEFT($J2,1)="1",LEFT($J2,2)="21",LEFT($J2,2)="22",LEFT($J2,2)="23",LEFT($J2,2)="24",LEFT($J2,2)="26",LEFT($J2,2)="27",LEFT($J2,2)="29",LEFT($J2,1)="3",LEFT($J2,1)="4"))</formula>
    </cfRule>
  </conditionalFormatting>
  <conditionalFormatting sqref="K2:K37000">
    <cfRule type="expression" dxfId="1" priority="4" stopIfTrue="1">
      <formula>AND(OR(LEFT($H2,4)="1071",LEFT($H2,4)="1072"),OR(LEFT($K2,2)="13",LEFT($K2,2)="14",LEFT($K2,2)="16",LEFT($K2,2)="17",LEFT($K2,2)="18",LEFT($K2,2)="19",LEFT($K2,1)="O",LEFT($K2,1)="2",LEFT($K2,2)="31",LEFT($K2,2)="39",LEFT($K2,1)="4"))</formula>
    </cfRule>
    <cfRule type="expression" dxfId="0" priority="5" stopIfTrue="1">
      <formula>AND(LEFT($H2,3)="101",OR(LEFT($K2,2)="13",LEFT($K2,2)="14",LEFT($K2,2)="16",LEFT($K2,2)="17",LEFT($K2,2)="18",LEFT($K2,2)="19",LEFT($K2,1)="O",LEFT($K2,1)="2",LEFT($K2,1)="4"))</formula>
    </cfRule>
  </conditionalFormatting>
  <dataValidations count="5">
    <dataValidation type="list" allowBlank="1" showInputMessage="1" showErrorMessage="1" sqref="L2:L37000" xr:uid="{00000000-0002-0000-1100-000000000000}">
      <formula1>$Y$2:$Y$21</formula1>
    </dataValidation>
    <dataValidation type="list" allowBlank="1" showInputMessage="1" showErrorMessage="1" sqref="I2:I37000" xr:uid="{00000000-0002-0000-1100-000001000000}">
      <formula1>$N$2:$N$21</formula1>
    </dataValidation>
    <dataValidation type="list" allowBlank="1" showInputMessage="1" showErrorMessage="1" sqref="J2:J37000" xr:uid="{00000000-0002-0000-1100-000002000000}">
      <formula1>$O$2:$O$21</formula1>
    </dataValidation>
    <dataValidation type="list" allowBlank="1" showInputMessage="1" showErrorMessage="1" sqref="H2:H37000" xr:uid="{00000000-0002-0000-1100-000004000000}">
      <formula1>$M$3:$M$41</formula1>
    </dataValidation>
    <dataValidation type="list" allowBlank="1" showInputMessage="1" showErrorMessage="1" sqref="K2:K37000" xr:uid="{00000000-0002-0000-1100-000003000000}">
      <formula1>$P$2:$P$44</formula1>
    </dataValidation>
  </dataValidations>
  <pageMargins left="0.7" right="0.7" top="0.75" bottom="0.75" header="0.3" footer="0.3"/>
  <pageSetup scale="28" fitToHeight="3" orientation="portrait" r:id="rId1"/>
  <headerFooter>
    <oddFooter>&amp;LRev. 8/25 Arizona Department of Education and Auditor General&amp;CFY 2025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53FEE-CD0E-4D78-8368-259836ADEC6D}">
  <sheetPr>
    <pageSetUpPr fitToPage="1"/>
  </sheetPr>
  <dimension ref="A1:E1539"/>
  <sheetViews>
    <sheetView showGridLines="0" workbookViewId="0"/>
  </sheetViews>
  <sheetFormatPr defaultColWidth="9.33203125" defaultRowHeight="13.2" x14ac:dyDescent="0.25"/>
  <cols>
    <col min="1" max="1" width="27.33203125" customWidth="1"/>
    <col min="2" max="2" width="24" customWidth="1"/>
    <col min="3" max="3" width="23.33203125" customWidth="1"/>
    <col min="4" max="4" width="28.33203125" customWidth="1"/>
    <col min="5" max="5" width="26.33203125" customWidth="1"/>
  </cols>
  <sheetData>
    <row r="1" spans="1:5" ht="14.4" x14ac:dyDescent="0.3">
      <c r="A1" s="522" t="s">
        <v>958</v>
      </c>
      <c r="B1" s="522" t="s">
        <v>959</v>
      </c>
      <c r="C1" s="522" t="s">
        <v>960</v>
      </c>
      <c r="D1" s="522" t="s">
        <v>961</v>
      </c>
      <c r="E1" s="523" t="s">
        <v>962</v>
      </c>
    </row>
    <row r="2" spans="1:5" x14ac:dyDescent="0.25">
      <c r="A2" s="524" t="s">
        <v>963</v>
      </c>
      <c r="B2" s="524" t="s">
        <v>963</v>
      </c>
      <c r="C2" s="524">
        <v>1000</v>
      </c>
      <c r="D2" s="524">
        <v>6100</v>
      </c>
      <c r="E2" s="525">
        <f>SUMIFS('Accounting data'!$G$2:$G$37000,'Accounting data'!$J$2:$J$37000,"1*",'Accounting data'!$K$2:$K$37000,"61*")</f>
        <v>1292281</v>
      </c>
    </row>
    <row r="3" spans="1:5" x14ac:dyDescent="0.25">
      <c r="A3" s="524" t="s">
        <v>964</v>
      </c>
      <c r="B3" s="524" t="s">
        <v>963</v>
      </c>
      <c r="C3" s="524">
        <v>1000</v>
      </c>
      <c r="D3" s="524">
        <v>6100</v>
      </c>
      <c r="E3" s="525">
        <f>SUMIFS('Accounting data'!$G$2:$G$37000,'Accounting data'!$H$2:$H$37000,"9999*",'Accounting data'!$J$2:$J$37000,"1*",'Accounting data'!$K$2:$K$37000,"61*")</f>
        <v>0</v>
      </c>
    </row>
    <row r="4" spans="1:5" x14ac:dyDescent="0.25">
      <c r="A4" s="524" t="s">
        <v>963</v>
      </c>
      <c r="B4" s="524" t="s">
        <v>965</v>
      </c>
      <c r="C4" s="524">
        <v>1000</v>
      </c>
      <c r="D4" s="524">
        <v>6100</v>
      </c>
      <c r="E4" s="525">
        <f>SUMIFS('Accounting data'!$G$2:$G$37000,'Accounting data'!$I$2:$I$37000,"7*",'Accounting data'!$J$2:$J$37000,"1*",'Accounting data'!$K$2:$K$37000,"61*")+SUMIFS('Accounting data'!$G$2:$G$37000,'Accounting data'!$I$2:$I$37000,"8*",'Accounting data'!$J$2:$J$37000,"1*",'Accounting data'!$K$2:$K$37000,"61*")+SUMIFS('Accounting data'!$G$2:$G$37000,'Accounting data'!$I$2:$I$37000,"9*",'Accounting data'!$J$2:$J$37000,"1*",'Accounting data'!$K$2:$K$37000,"61*")</f>
        <v>0</v>
      </c>
    </row>
    <row r="5" spans="1:5" x14ac:dyDescent="0.25">
      <c r="A5" s="526" t="s">
        <v>964</v>
      </c>
      <c r="B5" s="524" t="s">
        <v>965</v>
      </c>
      <c r="C5" s="524">
        <v>1000</v>
      </c>
      <c r="D5" s="524">
        <v>6100</v>
      </c>
      <c r="E5" s="525">
        <f>SUMIFS('Accounting data'!$G$2:$G$37000,'Accounting data'!$H$2:$H$37000,"9999*",'Accounting data'!$I$2:$I$37000,"7*",'Accounting data'!$J$2:$J$37000,"1*",'Accounting data'!$K$2:$K$37000,"61*")+SUMIFS('Accounting data'!$G$2:$G$37000,'Accounting data'!$H$2:$H$37000,"9999*",'Accounting data'!$I$2:$I$37000,"8*",'Accounting data'!$J$2:$J$37000,"1*",'Accounting data'!$K$2:$K$37000,"61*")+SUMIFS('Accounting data'!$G$2:$G$37000,'Accounting data'!$H$2:$H$37000,"9999*",'Accounting data'!$I$2:$I$37000,"9*",'Accounting data'!$J$2:$J$37000,"1*",'Accounting data'!$K$2:$K$37000,"61*")</f>
        <v>0</v>
      </c>
    </row>
    <row r="6" spans="1:5" x14ac:dyDescent="0.25">
      <c r="A6" s="524"/>
      <c r="B6" s="524"/>
      <c r="C6" s="524"/>
      <c r="D6" s="524"/>
      <c r="E6" s="525"/>
    </row>
    <row r="7" spans="1:5" x14ac:dyDescent="0.25">
      <c r="A7" s="524"/>
      <c r="B7" s="524"/>
      <c r="C7" s="524"/>
      <c r="D7" s="524"/>
      <c r="E7" s="525"/>
    </row>
    <row r="8" spans="1:5" ht="14.4" x14ac:dyDescent="0.3">
      <c r="A8" s="527" t="s">
        <v>966</v>
      </c>
      <c r="B8" s="527"/>
      <c r="C8" s="527"/>
      <c r="D8" s="527"/>
      <c r="E8" s="528">
        <f>(E2-E3-E4)+(E5+E6+E7)</f>
        <v>1292281</v>
      </c>
    </row>
    <row r="9" spans="1:5" x14ac:dyDescent="0.25">
      <c r="A9" s="524" t="s">
        <v>963</v>
      </c>
      <c r="B9" s="524" t="s">
        <v>963</v>
      </c>
      <c r="C9" s="524">
        <v>2100</v>
      </c>
      <c r="D9" s="524">
        <v>6100</v>
      </c>
      <c r="E9" s="525">
        <f>SUMIFS('Accounting data'!$G$2:$G$37000,'Accounting data'!$J$2:$J$37000,"21*",'Accounting data'!$K$2:$K$37000,"61*")</f>
        <v>6840</v>
      </c>
    </row>
    <row r="10" spans="1:5" x14ac:dyDescent="0.25">
      <c r="A10" s="524" t="s">
        <v>964</v>
      </c>
      <c r="B10" s="524" t="s">
        <v>963</v>
      </c>
      <c r="C10" s="524">
        <v>2100</v>
      </c>
      <c r="D10" s="524">
        <v>6100</v>
      </c>
      <c r="E10" s="525">
        <f>SUMIFS('Accounting data'!$G$2:$G$37000,'Accounting data'!$H$2:$H$37000,"9999*",'Accounting data'!$J$2:$J$37000,"21*",'Accounting data'!$K$2:$K$37000,"61*")</f>
        <v>0</v>
      </c>
    </row>
    <row r="11" spans="1:5" x14ac:dyDescent="0.25">
      <c r="A11" s="524" t="s">
        <v>963</v>
      </c>
      <c r="B11" s="524" t="s">
        <v>965</v>
      </c>
      <c r="C11" s="524">
        <v>2100</v>
      </c>
      <c r="D11" s="524">
        <v>6100</v>
      </c>
      <c r="E11" s="525">
        <f>SUMIFS('Accounting data'!$G$2:$G$37000,'Accounting data'!$I$2:$I$37000,"7*",'Accounting data'!$J$2:$J$37000,"21*",'Accounting data'!$K$2:$K$37000,"61*")+SUMIFS('Accounting data'!$G$2:$G$37000,'Accounting data'!$I$2:$I$37000,"8*",'Accounting data'!$J$2:$J$37000,"21*",'Accounting data'!$K$2:$K$37000,"61*")+SUMIFS('Accounting data'!$G$2:$G$37000,'Accounting data'!$I$2:$I$37000,"9*",'Accounting data'!$J$2:$J$37000,"21*",'Accounting data'!$K$2:$K$37000,"61*")</f>
        <v>0</v>
      </c>
    </row>
    <row r="12" spans="1:5" x14ac:dyDescent="0.25">
      <c r="A12" s="526" t="s">
        <v>964</v>
      </c>
      <c r="B12" s="524" t="s">
        <v>965</v>
      </c>
      <c r="C12" s="524">
        <v>2100</v>
      </c>
      <c r="D12" s="524">
        <v>6100</v>
      </c>
      <c r="E12" s="525">
        <f>SUMIFS('Accounting data'!$G$2:$G$37000,'Accounting data'!$H$2:$H$37000,"9999*",'Accounting data'!$I$2:$I$37000,"7*",'Accounting data'!$J$2:$J$37000,"21*",'Accounting data'!$K$2:$K$37000,"61*")+SUMIFS('Accounting data'!$G$2:$G$37000,'Accounting data'!$H$2:$H$37000,"9999*",'Accounting data'!$I$2:$I$37000,"8*",'Accounting data'!$J$2:$J$37000,"21*",'Accounting data'!$K$2:$K$37000,"61*")+SUMIFS('Accounting data'!$G$2:$G$37000,'Accounting data'!$H$2:$H$37000,"9999*",'Accounting data'!$I$2:$I$37000,"9*",'Accounting data'!$J$2:$J$37000,"21*",'Accounting data'!$K$2:$K$37000,"61*")</f>
        <v>0</v>
      </c>
    </row>
    <row r="13" spans="1:5" x14ac:dyDescent="0.25">
      <c r="A13" s="524"/>
      <c r="B13" s="524"/>
      <c r="C13" s="524"/>
      <c r="D13" s="524"/>
      <c r="E13" s="525"/>
    </row>
    <row r="14" spans="1:5" x14ac:dyDescent="0.25">
      <c r="A14" s="524"/>
      <c r="B14" s="524"/>
      <c r="C14" s="524"/>
      <c r="D14" s="524"/>
      <c r="E14" s="525"/>
    </row>
    <row r="15" spans="1:5" ht="14.4" x14ac:dyDescent="0.3">
      <c r="A15" s="527" t="s">
        <v>967</v>
      </c>
      <c r="B15" s="527"/>
      <c r="C15" s="527"/>
      <c r="D15" s="527"/>
      <c r="E15" s="528">
        <f>(E9-E10-E11)+(E12+E13+E14)</f>
        <v>6840</v>
      </c>
    </row>
    <row r="16" spans="1:5" x14ac:dyDescent="0.25">
      <c r="A16" s="524" t="s">
        <v>963</v>
      </c>
      <c r="B16" s="524" t="s">
        <v>963</v>
      </c>
      <c r="C16" s="524">
        <v>2200</v>
      </c>
      <c r="D16" s="524">
        <v>6100</v>
      </c>
      <c r="E16" s="525">
        <f>SUMIFS('Accounting data'!$G$2:$G$37000,'Accounting data'!$J$2:$J$37000,"22*",'Accounting data'!$K$2:$K$37000,"61*")</f>
        <v>0</v>
      </c>
    </row>
    <row r="17" spans="1:5" x14ac:dyDescent="0.25">
      <c r="A17" s="524" t="s">
        <v>964</v>
      </c>
      <c r="B17" s="524" t="s">
        <v>963</v>
      </c>
      <c r="C17" s="524">
        <v>2200</v>
      </c>
      <c r="D17" s="524">
        <v>6100</v>
      </c>
      <c r="E17" s="525">
        <f>SUMIFS('Accounting data'!$G$2:$G$37000,'Accounting data'!$H$2:$H$37000,"9999*",'Accounting data'!$J$2:$J$37000,"22*",'Accounting data'!$K$2:$K$37000,"61*")</f>
        <v>0</v>
      </c>
    </row>
    <row r="18" spans="1:5" x14ac:dyDescent="0.25">
      <c r="A18" s="524" t="s">
        <v>963</v>
      </c>
      <c r="B18" s="524" t="s">
        <v>965</v>
      </c>
      <c r="C18" s="524">
        <v>2200</v>
      </c>
      <c r="D18" s="524">
        <v>6100</v>
      </c>
      <c r="E18" s="525">
        <f>SUMIFS('Accounting data'!$G$2:$G$37000,'Accounting data'!$I$2:$I$37000,"7*",'Accounting data'!$J$2:$J$37000,"22*",'Accounting data'!$K$2:$K$37000,"61*")+SUMIFS('Accounting data'!$G$2:$G$37000,'Accounting data'!$I$2:$I$37000,"8*",'Accounting data'!$J$2:$J$37000,"22*",'Accounting data'!$K$2:$K$37000,"61*")+SUMIFS('Accounting data'!$G$2:$G$37000,'Accounting data'!$I$2:$I$37000,"9*",'Accounting data'!$J$2:$J$37000,"22*",'Accounting data'!$K$2:$K$37000,"61*")</f>
        <v>0</v>
      </c>
    </row>
    <row r="19" spans="1:5" x14ac:dyDescent="0.25">
      <c r="A19" s="526" t="s">
        <v>964</v>
      </c>
      <c r="B19" s="524" t="s">
        <v>965</v>
      </c>
      <c r="C19" s="524">
        <v>2200</v>
      </c>
      <c r="D19" s="524">
        <v>6100</v>
      </c>
      <c r="E19" s="525">
        <f>SUMIFS('Accounting data'!$G$2:$G$37000,'Accounting data'!$H$2:$H$37000,"9999*",'Accounting data'!$I$2:$I$37000,"7*",'Accounting data'!$J$2:$J$37000,"22*",'Accounting data'!$K$2:$K$37000,"61*")+SUMIFS('Accounting data'!$G$2:$G$37000,'Accounting data'!$H$2:$H$37000,"9999*",'Accounting data'!$I$2:$I$37000,"8*",'Accounting data'!$J$2:$J$37000,"22*",'Accounting data'!$K$2:$K$37000,"61*")+SUMIFS('Accounting data'!$G$2:$G$37000,'Accounting data'!$H$2:$H$37000,"9999*",'Accounting data'!$I$2:$I$37000,"9*",'Accounting data'!$J$2:$J$37000,"22*",'Accounting data'!$K$2:$K$37000,"61*")</f>
        <v>0</v>
      </c>
    </row>
    <row r="20" spans="1:5" x14ac:dyDescent="0.25">
      <c r="A20" s="524"/>
      <c r="B20" s="524"/>
      <c r="C20" s="524"/>
      <c r="D20" s="524"/>
      <c r="E20" s="525"/>
    </row>
    <row r="21" spans="1:5" x14ac:dyDescent="0.25">
      <c r="A21" s="524"/>
      <c r="B21" s="524"/>
      <c r="C21" s="524"/>
      <c r="D21" s="524"/>
      <c r="E21" s="525"/>
    </row>
    <row r="22" spans="1:5" ht="14.4" x14ac:dyDescent="0.3">
      <c r="A22" s="527" t="s">
        <v>968</v>
      </c>
      <c r="B22" s="527"/>
      <c r="C22" s="527"/>
      <c r="D22" s="527"/>
      <c r="E22" s="528">
        <f>(E16-E17-E18)+(E19+E20+E21)</f>
        <v>0</v>
      </c>
    </row>
    <row r="23" spans="1:5" x14ac:dyDescent="0.25">
      <c r="A23" s="524" t="s">
        <v>963</v>
      </c>
      <c r="B23" s="524" t="s">
        <v>963</v>
      </c>
      <c r="C23" s="524">
        <v>2300</v>
      </c>
      <c r="D23" s="524">
        <v>6100</v>
      </c>
      <c r="E23" s="525">
        <f>SUMIFS('Accounting data'!$G$2:$G$37000,'Accounting data'!$J$2:$J$37000,"23*",'Accounting data'!$K$2:$K$37000,"61*")</f>
        <v>0</v>
      </c>
    </row>
    <row r="24" spans="1:5" x14ac:dyDescent="0.25">
      <c r="A24" s="524" t="s">
        <v>964</v>
      </c>
      <c r="B24" s="524" t="s">
        <v>963</v>
      </c>
      <c r="C24" s="524">
        <v>2300</v>
      </c>
      <c r="D24" s="524">
        <v>6100</v>
      </c>
      <c r="E24" s="525">
        <f>SUMIFS('Accounting data'!$G$2:$G$37000,'Accounting data'!$H$2:$H$37000,"9999*",'Accounting data'!$J$2:$J$37000,"23*",'Accounting data'!$K$2:$K$37000,"61*")</f>
        <v>0</v>
      </c>
    </row>
    <row r="25" spans="1:5" x14ac:dyDescent="0.25">
      <c r="A25" s="524" t="s">
        <v>963</v>
      </c>
      <c r="B25" s="524" t="s">
        <v>965</v>
      </c>
      <c r="C25" s="524">
        <v>2300</v>
      </c>
      <c r="D25" s="524">
        <v>6100</v>
      </c>
      <c r="E25" s="525">
        <f>SUMIFS('Accounting data'!$G$2:$G$37000,'Accounting data'!$I$2:$I$37000,"7*",'Accounting data'!$J$2:$J$37000,"23*",'Accounting data'!$K$2:$K$37000,"61*")+SUMIFS('Accounting data'!$G$2:$G$37000,'Accounting data'!$I$2:$I$37000,"8*",'Accounting data'!$J$2:$J$37000,"23*",'Accounting data'!$K$2:$K$37000,"61*")+SUMIFS('Accounting data'!$G$2:$G$37000,'Accounting data'!$I$2:$I$37000,"9*",'Accounting data'!$J$2:$J$37000,"23*",'Accounting data'!$K$2:$K$37000,"61*")</f>
        <v>0</v>
      </c>
    </row>
    <row r="26" spans="1:5" x14ac:dyDescent="0.25">
      <c r="A26" s="526" t="s">
        <v>964</v>
      </c>
      <c r="B26" s="524" t="s">
        <v>965</v>
      </c>
      <c r="C26" s="524">
        <v>2300</v>
      </c>
      <c r="D26" s="524">
        <v>6100</v>
      </c>
      <c r="E26" s="525">
        <f>SUMIFS('Accounting data'!$G$2:$G$37000,'Accounting data'!$H$2:$H$37000,"9999*",'Accounting data'!$I$2:$I$37000,"7*",'Accounting data'!$J$2:$J$37000,"23*",'Accounting data'!$K$2:$K$37000,"61*")+SUMIFS('Accounting data'!$G$2:$G$37000,'Accounting data'!$H$2:$H$37000,"9999*",'Accounting data'!$I$2:$I$37000,"8*",'Accounting data'!$J$2:$J$37000,"23*",'Accounting data'!$K$2:$K$37000,"61*")+SUMIFS('Accounting data'!$G$2:$G$37000,'Accounting data'!$H$2:$H$37000,"9999*",'Accounting data'!$I$2:$I$37000,"9*",'Accounting data'!$J$2:$J$37000,"23*",'Accounting data'!$K$2:$K$37000,"61*")</f>
        <v>0</v>
      </c>
    </row>
    <row r="27" spans="1:5" x14ac:dyDescent="0.25">
      <c r="A27" s="524"/>
      <c r="B27" s="524"/>
      <c r="C27" s="524"/>
      <c r="D27" s="524"/>
      <c r="E27" s="525"/>
    </row>
    <row r="28" spans="1:5" x14ac:dyDescent="0.25">
      <c r="A28" s="524"/>
      <c r="B28" s="524"/>
      <c r="C28" s="524"/>
      <c r="D28" s="524"/>
      <c r="E28" s="525"/>
    </row>
    <row r="29" spans="1:5" x14ac:dyDescent="0.25">
      <c r="A29" s="527" t="s">
        <v>969</v>
      </c>
      <c r="B29" s="527"/>
      <c r="C29" s="527"/>
      <c r="D29" s="527"/>
      <c r="E29" s="529">
        <f>(E23-E24-E25)+(E26+E27+E28)</f>
        <v>0</v>
      </c>
    </row>
    <row r="30" spans="1:5" x14ac:dyDescent="0.25">
      <c r="A30" s="524" t="s">
        <v>963</v>
      </c>
      <c r="B30" s="524" t="s">
        <v>963</v>
      </c>
      <c r="C30" s="524">
        <v>2400</v>
      </c>
      <c r="D30" s="524">
        <v>6100</v>
      </c>
      <c r="E30" s="525">
        <f>SUMIFS('Accounting data'!$G$2:$G$37000,'Accounting data'!$J$2:$J$37000,"24*",'Accounting data'!$K$2:$K$37000,"61*")</f>
        <v>227412</v>
      </c>
    </row>
    <row r="31" spans="1:5" x14ac:dyDescent="0.25">
      <c r="A31" s="524" t="s">
        <v>964</v>
      </c>
      <c r="B31" s="524" t="s">
        <v>963</v>
      </c>
      <c r="C31" s="524">
        <v>2400</v>
      </c>
      <c r="D31" s="524">
        <v>6100</v>
      </c>
      <c r="E31" s="525">
        <f>SUMIFS('Accounting data'!$G$2:$G$37000,'Accounting data'!$H$2:$H$37000,"9999*",'Accounting data'!$J$2:$J$37000,"24*",'Accounting data'!$K$2:$K$37000,"61*")</f>
        <v>0</v>
      </c>
    </row>
    <row r="32" spans="1:5" x14ac:dyDescent="0.25">
      <c r="A32" s="524" t="s">
        <v>963</v>
      </c>
      <c r="B32" s="524" t="s">
        <v>965</v>
      </c>
      <c r="C32" s="524">
        <v>2400</v>
      </c>
      <c r="D32" s="524">
        <v>6100</v>
      </c>
      <c r="E32" s="525">
        <f>SUMIFS('Accounting data'!$G$2:$G$37000,'Accounting data'!$I$2:$I$37000,"7*",'Accounting data'!$J$2:$J$37000,"24*",'Accounting data'!$K$2:$K$37000,"61*")+SUMIFS('Accounting data'!$G$2:$G$37000,'Accounting data'!$I$2:$I$37000,"8*",'Accounting data'!$J$2:$J$37000,"24*",'Accounting data'!$K$2:$K$37000,"61*")+SUMIFS('Accounting data'!$G$2:$G$37000,'Accounting data'!$I$2:$I$37000,"9*",'Accounting data'!$J$2:$J$37000,"24*",'Accounting data'!$K$2:$K$37000,"61*")</f>
        <v>0</v>
      </c>
    </row>
    <row r="33" spans="1:5" x14ac:dyDescent="0.25">
      <c r="A33" s="526" t="s">
        <v>964</v>
      </c>
      <c r="B33" s="524" t="s">
        <v>965</v>
      </c>
      <c r="C33" s="524">
        <v>2400</v>
      </c>
      <c r="D33" s="524">
        <v>6100</v>
      </c>
      <c r="E33" s="525">
        <f>SUMIFS('Accounting data'!$G$2:$G$37000,'Accounting data'!$H$2:$H$37000,"9999*",'Accounting data'!$I$2:$I$37000,"7*",'Accounting data'!$J$2:$J$37000,"24*",'Accounting data'!$K$2:$K$37000,"61*")+SUMIFS('Accounting data'!$G$2:$G$37000,'Accounting data'!$H$2:$H$37000,"9999*",'Accounting data'!$I$2:$I$37000,"8*",'Accounting data'!$J$2:$J$37000,"24*",'Accounting data'!$K$2:$K$37000,"61*")+SUMIFS('Accounting data'!$G$2:$G$37000,'Accounting data'!$H$2:$H$37000,"9999*",'Accounting data'!$I$2:$I$37000,"9*",'Accounting data'!$J$2:$J$37000,"24*",'Accounting data'!$K$2:$K$37000,"61*")</f>
        <v>0</v>
      </c>
    </row>
    <row r="34" spans="1:5" x14ac:dyDescent="0.25">
      <c r="A34" s="524"/>
      <c r="B34" s="524"/>
      <c r="C34" s="524"/>
      <c r="D34" s="524"/>
      <c r="E34" s="525"/>
    </row>
    <row r="35" spans="1:5" x14ac:dyDescent="0.25">
      <c r="A35" s="524"/>
      <c r="B35" s="524"/>
      <c r="C35" s="524"/>
      <c r="D35" s="524"/>
      <c r="E35" s="525"/>
    </row>
    <row r="36" spans="1:5" ht="14.4" x14ac:dyDescent="0.3">
      <c r="A36" s="527" t="s">
        <v>970</v>
      </c>
      <c r="B36" s="527"/>
      <c r="C36" s="527"/>
      <c r="D36" s="527"/>
      <c r="E36" s="528">
        <f>(E30-E31-E32)+(E33+E34+E35)</f>
        <v>227412</v>
      </c>
    </row>
    <row r="37" spans="1:5" x14ac:dyDescent="0.25">
      <c r="A37" s="524" t="s">
        <v>963</v>
      </c>
      <c r="B37" s="524" t="s">
        <v>963</v>
      </c>
      <c r="C37" s="524">
        <v>2500</v>
      </c>
      <c r="D37" s="524">
        <v>6100</v>
      </c>
      <c r="E37" s="525">
        <f>SUMIFS('Accounting data'!$G$2:$G$37000,'Accounting data'!$J$2:$J$37000,"25*",'Accounting data'!$K$2:$K$37000,"61*")</f>
        <v>0</v>
      </c>
    </row>
    <row r="38" spans="1:5" x14ac:dyDescent="0.25">
      <c r="A38" s="524" t="s">
        <v>964</v>
      </c>
      <c r="B38" s="524" t="s">
        <v>963</v>
      </c>
      <c r="C38" s="524">
        <v>2500</v>
      </c>
      <c r="D38" s="524">
        <v>6100</v>
      </c>
      <c r="E38" s="525">
        <f>SUMIFS('Accounting data'!$G$2:$G$37000,'Accounting data'!$H$2:$H$37000,"9999*",'Accounting data'!$J$2:$J$37000,"25*",'Accounting data'!$K$2:$K$37000,"61*")</f>
        <v>0</v>
      </c>
    </row>
    <row r="39" spans="1:5" x14ac:dyDescent="0.25">
      <c r="A39" s="524" t="s">
        <v>963</v>
      </c>
      <c r="B39" s="524" t="s">
        <v>965</v>
      </c>
      <c r="C39" s="524">
        <v>2500</v>
      </c>
      <c r="D39" s="524">
        <v>6100</v>
      </c>
      <c r="E39" s="525">
        <f>SUMIFS('Accounting data'!$G$2:$G$37000,'Accounting data'!$I$2:$I$37000,"7*",'Accounting data'!$J$2:$J$37000,"25*",'Accounting data'!$K$2:$K$37000,"61*")+SUMIFS('Accounting data'!$G$2:$G$37000,'Accounting data'!$I$2:$I$37000,"8*",'Accounting data'!$J$2:$J$37000,"25*",'Accounting data'!$K$2:$K$37000,"61*")+SUMIFS('Accounting data'!$G$2:$G$37000,'Accounting data'!$I$2:$I$37000,"9*",'Accounting data'!$J$2:$J$37000,"25*",'Accounting data'!$K$2:$K$37000,"61*")</f>
        <v>0</v>
      </c>
    </row>
    <row r="40" spans="1:5" x14ac:dyDescent="0.25">
      <c r="A40" s="526" t="s">
        <v>964</v>
      </c>
      <c r="B40" s="524" t="s">
        <v>965</v>
      </c>
      <c r="C40" s="524">
        <v>2500</v>
      </c>
      <c r="D40" s="524">
        <v>6100</v>
      </c>
      <c r="E40" s="525">
        <f>SUMIFS('Accounting data'!$G$2:$G$37000,'Accounting data'!$H$2:$H$37000,"9999*",'Accounting data'!$I$2:$I$37000,"7*",'Accounting data'!$J$2:$J$37000,"25*",'Accounting data'!$K$2:$K$37000,"61*")+SUMIFS('Accounting data'!$G$2:$G$37000,'Accounting data'!$H$2:$H$37000,"9999*",'Accounting data'!$I$2:$I$37000,"8*",'Accounting data'!$J$2:$J$37000,"25*",'Accounting data'!$K$2:$K$37000,"61*")+SUMIFS('Accounting data'!$G$2:$G$37000,'Accounting data'!$H$2:$H$37000,"9999*",'Accounting data'!$I$2:$I$37000,"9*",'Accounting data'!$J$2:$J$37000,"25*",'Accounting data'!$K$2:$K$37000,"61*")</f>
        <v>0</v>
      </c>
    </row>
    <row r="41" spans="1:5" x14ac:dyDescent="0.25">
      <c r="A41" s="524"/>
      <c r="B41" s="524"/>
      <c r="C41" s="524"/>
      <c r="D41" s="524"/>
      <c r="E41" s="525"/>
    </row>
    <row r="42" spans="1:5" x14ac:dyDescent="0.25">
      <c r="A42" s="524"/>
      <c r="B42" s="524"/>
      <c r="C42" s="524"/>
      <c r="D42" s="524"/>
      <c r="E42" s="525"/>
    </row>
    <row r="43" spans="1:5" ht="14.4" x14ac:dyDescent="0.3">
      <c r="A43" s="527" t="s">
        <v>971</v>
      </c>
      <c r="B43" s="527"/>
      <c r="C43" s="527"/>
      <c r="D43" s="527"/>
      <c r="E43" s="528">
        <f>(E37-E38-E39)+(E40+E41+E42)</f>
        <v>0</v>
      </c>
    </row>
    <row r="44" spans="1:5" x14ac:dyDescent="0.25">
      <c r="A44" s="524" t="s">
        <v>963</v>
      </c>
      <c r="B44" s="524" t="s">
        <v>963</v>
      </c>
      <c r="C44" s="524">
        <v>2900</v>
      </c>
      <c r="D44" s="524">
        <v>6100</v>
      </c>
      <c r="E44" s="525">
        <f>SUMIFS('Accounting data'!$G$2:$G$37000,'Accounting data'!$J$2:$J$37000,"29*",'Accounting data'!$K$2:$K$37000,"61*")</f>
        <v>0</v>
      </c>
    </row>
    <row r="45" spans="1:5" x14ac:dyDescent="0.25">
      <c r="A45" s="524" t="s">
        <v>964</v>
      </c>
      <c r="B45" s="524" t="s">
        <v>963</v>
      </c>
      <c r="C45" s="524">
        <v>2900</v>
      </c>
      <c r="D45" s="524">
        <v>6100</v>
      </c>
      <c r="E45" s="525">
        <f>SUMIFS('Accounting data'!$G$2:$G$37000,'Accounting data'!$H$2:$H$37000,"9999*",'Accounting data'!$J$2:$J$37000,"29*",'Accounting data'!$K$2:$K$37000,"61*")</f>
        <v>0</v>
      </c>
    </row>
    <row r="46" spans="1:5" x14ac:dyDescent="0.25">
      <c r="A46" s="524" t="s">
        <v>963</v>
      </c>
      <c r="B46" s="524" t="s">
        <v>965</v>
      </c>
      <c r="C46" s="524">
        <v>2900</v>
      </c>
      <c r="D46" s="524">
        <v>6100</v>
      </c>
      <c r="E46" s="525">
        <f>SUMIFS('Accounting data'!$G$2:$G$37000,'Accounting data'!$I$2:$I$37000,"7*",'Accounting data'!$J$2:$J$37000,"29*",'Accounting data'!$K$2:$K$37000,"61*")+SUMIFS('Accounting data'!$G$2:$G$37000,'Accounting data'!$I$2:$I$37000,"8*",'Accounting data'!$J$2:$J$37000,"29*",'Accounting data'!$K$2:$K$37000,"61*")+SUMIFS('Accounting data'!$G$2:$G$37000,'Accounting data'!$I$2:$I$37000,"9*",'Accounting data'!$J$2:$J$37000,"29*",'Accounting data'!$K$2:$K$37000,"61*")</f>
        <v>0</v>
      </c>
    </row>
    <row r="47" spans="1:5" x14ac:dyDescent="0.25">
      <c r="A47" s="526" t="s">
        <v>964</v>
      </c>
      <c r="B47" s="524" t="s">
        <v>965</v>
      </c>
      <c r="C47" s="524">
        <v>2900</v>
      </c>
      <c r="D47" s="524">
        <v>6100</v>
      </c>
      <c r="E47" s="525">
        <f>SUMIFS('Accounting data'!$G$2:$G$37000,'Accounting data'!$H$2:$H$37000,"9999*",'Accounting data'!$I$2:$I$37000,"7*",'Accounting data'!$J$2:$J$37000,"29*",'Accounting data'!$K$2:$K$37000,"61*")+SUMIFS('Accounting data'!$G$2:$G$37000,'Accounting data'!$H$2:$H$37000,"9999*",'Accounting data'!$I$2:$I$37000,"8*",'Accounting data'!$J$2:$J$37000,"29*",'Accounting data'!$K$2:$K$37000,"61*")+SUMIFS('Accounting data'!$G$2:$G$37000,'Accounting data'!$H$2:$H$37000,"9999*",'Accounting data'!$I$2:$I$37000,"9*",'Accounting data'!$J$2:$J$37000,"29*",'Accounting data'!$K$2:$K$37000,"61*")</f>
        <v>0</v>
      </c>
    </row>
    <row r="50" spans="1:5" ht="14.4" x14ac:dyDescent="0.3">
      <c r="A50" s="527" t="s">
        <v>972</v>
      </c>
      <c r="B50" s="527"/>
      <c r="C50" s="527"/>
      <c r="D50" s="527"/>
      <c r="E50" s="528">
        <f>(E44-E45-E46)+(E47+E48+E49)</f>
        <v>0</v>
      </c>
    </row>
    <row r="51" spans="1:5" x14ac:dyDescent="0.25">
      <c r="A51" s="524" t="s">
        <v>963</v>
      </c>
      <c r="B51" s="524" t="s">
        <v>963</v>
      </c>
      <c r="C51" s="524">
        <v>2600</v>
      </c>
      <c r="D51" s="524">
        <v>6100</v>
      </c>
      <c r="E51" s="525">
        <f>SUMIFS('Accounting data'!$G$2:$G$37000,'Accounting data'!$J$2:$J$37000,"26*",'Accounting data'!$K$2:$K$37000,"61*")</f>
        <v>0</v>
      </c>
    </row>
    <row r="52" spans="1:5" x14ac:dyDescent="0.25">
      <c r="A52" s="524" t="s">
        <v>964</v>
      </c>
      <c r="B52" s="524" t="s">
        <v>963</v>
      </c>
      <c r="C52" s="524">
        <v>2600</v>
      </c>
      <c r="D52" s="524">
        <v>6100</v>
      </c>
      <c r="E52" s="525">
        <f>SUMIFS('Accounting data'!$G$2:$G$37000,'Accounting data'!$H$2:$H$37000,"9999*",'Accounting data'!$J$2:$J$37000,"26*",'Accounting data'!$K$2:$K$37000,"61*")</f>
        <v>0</v>
      </c>
    </row>
    <row r="53" spans="1:5" x14ac:dyDescent="0.25">
      <c r="A53" s="524" t="s">
        <v>963</v>
      </c>
      <c r="B53" s="524" t="s">
        <v>965</v>
      </c>
      <c r="C53" s="524">
        <v>2600</v>
      </c>
      <c r="D53" s="524">
        <v>6100</v>
      </c>
      <c r="E53" s="525">
        <f>SUMIFS('Accounting data'!$G$2:$G$37000,'Accounting data'!$I$2:$I$37000,"7*",'Accounting data'!$J$2:$J$37000,"26*",'Accounting data'!$K$2:$K$37000,"61*")+SUMIFS('Accounting data'!$G$2:$G$37000,'Accounting data'!$I$2:$I$37000,"8*",'Accounting data'!$J$2:$J$37000,"26*",'Accounting data'!$K$2:$K$37000,"61*")+SUMIFS('Accounting data'!$G$2:$G$37000,'Accounting data'!$I$2:$I$37000,"9*",'Accounting data'!$J$2:$J$37000,"26*",'Accounting data'!$K$2:$K$37000,"61*")</f>
        <v>0</v>
      </c>
    </row>
    <row r="54" spans="1:5" x14ac:dyDescent="0.25">
      <c r="A54" s="526" t="s">
        <v>964</v>
      </c>
      <c r="B54" s="524" t="s">
        <v>965</v>
      </c>
      <c r="C54" s="524">
        <v>2600</v>
      </c>
      <c r="D54" s="524">
        <v>6100</v>
      </c>
      <c r="E54" s="525">
        <f>SUMIFS('Accounting data'!$G$2:$G$37000,'Accounting data'!$H$2:$H$37000,"9999*",'Accounting data'!$I$2:$I$37000,"7*",'Accounting data'!$J$2:$J$37000,"26*",'Accounting data'!$K$2:$K$37000,"61*")+SUMIFS('Accounting data'!$G$2:$G$37000,'Accounting data'!$H$2:$H$37000,"9999*",'Accounting data'!$I$2:$I$37000,"8*",'Accounting data'!$J$2:$J$37000,"26*",'Accounting data'!$K$2:$K$37000,"61*")+SUMIFS('Accounting data'!$G$2:$G$37000,'Accounting data'!$H$2:$H$37000,"9999*",'Accounting data'!$I$2:$I$37000,"9*",'Accounting data'!$J$2:$J$37000,"26*",'Accounting data'!$K$2:$K$37000,"61*")</f>
        <v>0</v>
      </c>
    </row>
    <row r="55" spans="1:5" x14ac:dyDescent="0.25">
      <c r="A55" s="524"/>
      <c r="B55" s="524"/>
      <c r="C55" s="524"/>
      <c r="D55" s="524"/>
      <c r="E55" s="525"/>
    </row>
    <row r="56" spans="1:5" x14ac:dyDescent="0.25">
      <c r="A56" s="524"/>
      <c r="B56" s="524"/>
      <c r="C56" s="524"/>
      <c r="D56" s="524"/>
      <c r="E56" s="525"/>
    </row>
    <row r="57" spans="1:5" ht="14.4" x14ac:dyDescent="0.3">
      <c r="A57" s="527" t="s">
        <v>973</v>
      </c>
      <c r="B57" s="527"/>
      <c r="C57" s="527"/>
      <c r="D57" s="527"/>
      <c r="E57" s="528">
        <f>(E51-E52-E53)+(E54+E55+E56)</f>
        <v>0</v>
      </c>
    </row>
    <row r="58" spans="1:5" x14ac:dyDescent="0.25">
      <c r="A58" s="524" t="s">
        <v>963</v>
      </c>
      <c r="B58" s="524" t="s">
        <v>963</v>
      </c>
      <c r="C58" s="524">
        <v>2700</v>
      </c>
      <c r="D58" s="524">
        <v>6100</v>
      </c>
      <c r="E58" s="525">
        <f>SUMIFS('Accounting data'!$G$2:$G$37000,'Accounting data'!$J$2:$J$37000,"27*",'Accounting data'!$K$2:$K$37000,"61*")</f>
        <v>0</v>
      </c>
    </row>
    <row r="59" spans="1:5" x14ac:dyDescent="0.25">
      <c r="A59" s="524" t="s">
        <v>964</v>
      </c>
      <c r="B59" s="524" t="s">
        <v>963</v>
      </c>
      <c r="C59" s="524">
        <v>2700</v>
      </c>
      <c r="D59" s="524">
        <v>6100</v>
      </c>
      <c r="E59" s="525">
        <f>SUMIFS('Accounting data'!$G$2:$G$37000,'Accounting data'!$H$2:$H$37000,"9999*",'Accounting data'!$J$2:$J$37000,"27*",'Accounting data'!$K$2:$K$37000,"61*")</f>
        <v>0</v>
      </c>
    </row>
    <row r="60" spans="1:5" x14ac:dyDescent="0.25">
      <c r="A60" s="524" t="s">
        <v>963</v>
      </c>
      <c r="B60" s="524" t="s">
        <v>965</v>
      </c>
      <c r="C60" s="524">
        <v>2700</v>
      </c>
      <c r="D60" s="524">
        <v>6100</v>
      </c>
      <c r="E60" s="525">
        <f>SUMIFS('Accounting data'!$G$2:$G$37000,'Accounting data'!$I$2:$I$37000,"7*",'Accounting data'!$J$2:$J$37000,"27*",'Accounting data'!$K$2:$K$37000,"61*")+SUMIFS('Accounting data'!$G$2:$G$37000,'Accounting data'!$I$2:$I$37000,"8*",'Accounting data'!$J$2:$J$37000,"27*",'Accounting data'!$K$2:$K$37000,"61*")+SUMIFS('Accounting data'!$G$2:$G$37000,'Accounting data'!$I$2:$I$37000,"9*",'Accounting data'!$J$2:$J$37000,"27*",'Accounting data'!$K$2:$K$37000,"61*")</f>
        <v>0</v>
      </c>
    </row>
    <row r="61" spans="1:5" x14ac:dyDescent="0.25">
      <c r="A61" s="526" t="s">
        <v>964</v>
      </c>
      <c r="B61" s="524" t="s">
        <v>965</v>
      </c>
      <c r="C61" s="524">
        <v>2700</v>
      </c>
      <c r="D61" s="524">
        <v>6100</v>
      </c>
      <c r="E61" s="525">
        <f>SUMIFS('Accounting data'!$G$2:$G$37000,'Accounting data'!$H$2:$H$37000,"9999*",'Accounting data'!$I$2:$I$37000,"7*",'Accounting data'!$J$2:$J$37000,"27*",'Accounting data'!$K$2:$K$37000,"61*")+SUMIFS('Accounting data'!$G$2:$G$37000,'Accounting data'!$H$2:$H$37000,"9999*",'Accounting data'!$I$2:$I$37000,"8*",'Accounting data'!$J$2:$J$37000,"27*",'Accounting data'!$K$2:$K$37000,"61*")+SUMIFS('Accounting data'!$G$2:$G$37000,'Accounting data'!$H$2:$H$37000,"9999*",'Accounting data'!$I$2:$I$37000,"9*",'Accounting data'!$J$2:$J$37000,"27*",'Accounting data'!$K$2:$K$37000,"61*")</f>
        <v>0</v>
      </c>
    </row>
    <row r="62" spans="1:5" x14ac:dyDescent="0.25">
      <c r="A62" s="524"/>
      <c r="B62" s="524"/>
      <c r="C62" s="524"/>
      <c r="D62" s="524"/>
      <c r="E62" s="525"/>
    </row>
    <row r="63" spans="1:5" x14ac:dyDescent="0.25">
      <c r="A63" s="524"/>
      <c r="B63" s="524"/>
      <c r="C63" s="524"/>
      <c r="D63" s="524"/>
      <c r="E63" s="525"/>
    </row>
    <row r="64" spans="1:5" ht="14.4" x14ac:dyDescent="0.3">
      <c r="A64" s="527" t="s">
        <v>974</v>
      </c>
      <c r="B64" s="527"/>
      <c r="C64" s="527"/>
      <c r="D64" s="527"/>
      <c r="E64" s="528">
        <f>(E58-E59-E60)+(E61+E62+E63)</f>
        <v>0</v>
      </c>
    </row>
    <row r="65" spans="1:5" x14ac:dyDescent="0.25">
      <c r="A65" s="524" t="s">
        <v>963</v>
      </c>
      <c r="B65" s="524" t="s">
        <v>963</v>
      </c>
      <c r="C65" s="524">
        <v>3100</v>
      </c>
      <c r="D65" s="524">
        <v>6100</v>
      </c>
      <c r="E65" s="525">
        <f>SUMIFS('Accounting data'!$G$2:$G$37000,'Accounting data'!$J$2:$J$37000,"31*",'Accounting data'!$K$2:$K$37000,"61*")</f>
        <v>0</v>
      </c>
    </row>
    <row r="66" spans="1:5" x14ac:dyDescent="0.25">
      <c r="A66" s="524" t="s">
        <v>964</v>
      </c>
      <c r="B66" s="524" t="s">
        <v>963</v>
      </c>
      <c r="C66" s="524">
        <v>3100</v>
      </c>
      <c r="D66" s="524">
        <v>6100</v>
      </c>
      <c r="E66" s="525">
        <f>SUMIFS('Accounting data'!$G$2:$G$37000,'Accounting data'!$H$2:$H$37000,"9999*",'Accounting data'!$J$2:$J$37000,"31*",'Accounting data'!$K$2:$K$37000,"61*")</f>
        <v>0</v>
      </c>
    </row>
    <row r="67" spans="1:5" x14ac:dyDescent="0.25">
      <c r="A67" s="524" t="s">
        <v>963</v>
      </c>
      <c r="B67" s="524" t="s">
        <v>965</v>
      </c>
      <c r="C67" s="524">
        <v>3100</v>
      </c>
      <c r="D67" s="524">
        <v>6100</v>
      </c>
      <c r="E67" s="525">
        <f>SUMIFS('Accounting data'!$G$2:$G$37000,'Accounting data'!$I$2:$I$37000,"7*",'Accounting data'!$J$2:$J$37000,"31*",'Accounting data'!$K$2:$K$37000,"61*")+SUMIFS('Accounting data'!$G$2:$G$37000,'Accounting data'!$I$2:$I$37000,"8*",'Accounting data'!$J$2:$J$37000,"31*",'Accounting data'!$K$2:$K$37000,"61*")+SUMIFS('Accounting data'!$G$2:$G$37000,'Accounting data'!$I$2:$I$37000,"9*",'Accounting data'!$J$2:$J$37000,"31*",'Accounting data'!$K$2:$K$37000,"61*")</f>
        <v>0</v>
      </c>
    </row>
    <row r="68" spans="1:5" x14ac:dyDescent="0.25">
      <c r="A68" s="526" t="s">
        <v>964</v>
      </c>
      <c r="B68" s="524" t="s">
        <v>965</v>
      </c>
      <c r="C68" s="524">
        <v>3100</v>
      </c>
      <c r="D68" s="524">
        <v>6100</v>
      </c>
      <c r="E68" s="525">
        <f>SUMIFS('Accounting data'!$G$2:$G$37000,'Accounting data'!$H$2:$H$37000,"9999*",'Accounting data'!$I$2:$I$37000,"7*",'Accounting data'!$J$2:$J$37000,"31*",'Accounting data'!$K$2:$K$37000,"61*")+SUMIFS('Accounting data'!$G$2:$G$37000,'Accounting data'!$H$2:$H$37000,"9999*",'Accounting data'!$I$2:$I$37000,"8*",'Accounting data'!$J$2:$J$37000,"31*",'Accounting data'!$K$2:$K$37000,"61*")+SUMIFS('Accounting data'!$G$2:$G$37000,'Accounting data'!$H$2:$H$37000,"9999*",'Accounting data'!$I$2:$I$37000,"9*",'Accounting data'!$J$2:$J$37000,"31*",'Accounting data'!$K$2:$K$37000,"61*")</f>
        <v>0</v>
      </c>
    </row>
    <row r="69" spans="1:5" x14ac:dyDescent="0.25">
      <c r="A69" s="524"/>
      <c r="B69" s="524"/>
      <c r="C69" s="524"/>
      <c r="D69" s="524"/>
      <c r="E69" s="525"/>
    </row>
    <row r="70" spans="1:5" x14ac:dyDescent="0.25">
      <c r="A70" s="524"/>
      <c r="B70" s="524"/>
      <c r="C70" s="524"/>
      <c r="D70" s="524"/>
      <c r="E70" s="525"/>
    </row>
    <row r="71" spans="1:5" ht="14.4" x14ac:dyDescent="0.3">
      <c r="A71" s="527" t="s">
        <v>975</v>
      </c>
      <c r="B71" s="527"/>
      <c r="C71" s="527"/>
      <c r="D71" s="527"/>
      <c r="E71" s="528">
        <f>(E65-E66-E67)+(E68+E69+E70)</f>
        <v>0</v>
      </c>
    </row>
    <row r="72" spans="1:5" x14ac:dyDescent="0.25">
      <c r="A72" s="524"/>
      <c r="B72" s="524"/>
      <c r="C72" s="524"/>
      <c r="D72" s="524"/>
      <c r="E72" s="525"/>
    </row>
    <row r="73" spans="1:5" x14ac:dyDescent="0.25">
      <c r="A73" s="524"/>
      <c r="B73" s="524"/>
      <c r="C73" s="524"/>
      <c r="D73" s="524"/>
      <c r="E73" s="525"/>
    </row>
    <row r="74" spans="1:5" x14ac:dyDescent="0.25">
      <c r="A74" s="524"/>
      <c r="B74" s="524"/>
      <c r="C74" s="524"/>
      <c r="D74" s="524"/>
      <c r="E74" s="525"/>
    </row>
    <row r="75" spans="1:5" x14ac:dyDescent="0.25">
      <c r="A75" s="526"/>
      <c r="B75" s="524"/>
      <c r="C75" s="524"/>
      <c r="D75" s="524"/>
      <c r="E75" s="525"/>
    </row>
    <row r="76" spans="1:5" x14ac:dyDescent="0.25">
      <c r="A76" s="524"/>
      <c r="B76" s="524"/>
      <c r="C76" s="524"/>
      <c r="D76" s="524"/>
      <c r="E76" s="525"/>
    </row>
    <row r="77" spans="1:5" x14ac:dyDescent="0.25">
      <c r="A77" s="524"/>
      <c r="B77" s="524"/>
      <c r="C77" s="524"/>
      <c r="D77" s="524"/>
      <c r="E77" s="525"/>
    </row>
    <row r="78" spans="1:5" ht="14.4" x14ac:dyDescent="0.3">
      <c r="A78" s="527"/>
      <c r="B78" s="527"/>
      <c r="C78" s="527"/>
      <c r="D78" s="527"/>
      <c r="E78" s="528"/>
    </row>
    <row r="79" spans="1:5" x14ac:dyDescent="0.25">
      <c r="A79" s="524" t="s">
        <v>963</v>
      </c>
      <c r="B79" s="524" t="s">
        <v>963</v>
      </c>
      <c r="C79" s="524">
        <v>3400</v>
      </c>
      <c r="D79" s="524">
        <v>6100</v>
      </c>
      <c r="E79" s="525">
        <f>SUMIFS('Accounting data'!$G$2:$G$37000,'Accounting data'!$J$2:$J$37000,"34*",'Accounting data'!$K$2:$K$37000,"61*")</f>
        <v>0</v>
      </c>
    </row>
    <row r="80" spans="1:5" x14ac:dyDescent="0.25">
      <c r="A80" s="524" t="s">
        <v>964</v>
      </c>
      <c r="B80" s="524" t="s">
        <v>963</v>
      </c>
      <c r="C80" s="524">
        <v>3400</v>
      </c>
      <c r="D80" s="524">
        <v>6100</v>
      </c>
      <c r="E80" s="525">
        <f>SUMIFS('Accounting data'!$G$2:$G$37000,'Accounting data'!$H$2:$H$37000,"9999*",'Accounting data'!$J$2:$J$37000,"34*",'Accounting data'!$K$2:$K$37000,"61*")</f>
        <v>0</v>
      </c>
    </row>
    <row r="81" spans="1:5" x14ac:dyDescent="0.25">
      <c r="A81" s="524" t="s">
        <v>963</v>
      </c>
      <c r="B81" s="524" t="s">
        <v>965</v>
      </c>
      <c r="C81" s="524">
        <v>3400</v>
      </c>
      <c r="D81" s="524">
        <v>6100</v>
      </c>
      <c r="E81" s="525">
        <f>SUMIFS('Accounting data'!$G$2:$G$37000,'Accounting data'!$I$2:$I$37000,"7*",'Accounting data'!$J$2:$J$37000,"34*",'Accounting data'!$K$2:$K$37000,"61*")+SUMIFS('Accounting data'!$G$2:$G$37000,'Accounting data'!$I$2:$I$37000,"8*",'Accounting data'!$J$2:$J$37000,"34*",'Accounting data'!$K$2:$K$37000,"61*")+SUMIFS('Accounting data'!$G$2:$G$37000,'Accounting data'!$I$2:$I$37000,"9*",'Accounting data'!$J$2:$J$37000,"34*",'Accounting data'!$K$2:$K$37000,"61*")</f>
        <v>0</v>
      </c>
    </row>
    <row r="82" spans="1:5" x14ac:dyDescent="0.25">
      <c r="A82" s="526" t="s">
        <v>964</v>
      </c>
      <c r="B82" s="524" t="s">
        <v>965</v>
      </c>
      <c r="C82" s="524">
        <v>3400</v>
      </c>
      <c r="D82" s="524">
        <v>6100</v>
      </c>
      <c r="E82" s="525">
        <f>SUMIFS('Accounting data'!$G$2:$G$37000,'Accounting data'!$H$2:$H$37000,"9999*",'Accounting data'!$I$2:$I$37000,"7*",'Accounting data'!$J$2:$J$37000,"34*",'Accounting data'!$K$2:$K$37000,"61*")+SUMIFS('Accounting data'!$G$2:$G$37000,'Accounting data'!$H$2:$H$37000,"9999*",'Accounting data'!$I$2:$I$37000,"8*",'Accounting data'!$J$2:$J$37000,"34*",'Accounting data'!$K$2:$K$37000,"61*")+SUMIFS('Accounting data'!$G$2:$G$37000,'Accounting data'!$H$2:$H$37000,"9999*",'Accounting data'!$I$2:$I$37000,"9*",'Accounting data'!$J$2:$J$37000,"34*",'Accounting data'!$K$2:$K$37000,"61*")</f>
        <v>0</v>
      </c>
    </row>
    <row r="83" spans="1:5" x14ac:dyDescent="0.25">
      <c r="A83" s="524"/>
      <c r="B83" s="524"/>
      <c r="C83" s="524"/>
      <c r="D83" s="524"/>
      <c r="E83" s="525"/>
    </row>
    <row r="84" spans="1:5" x14ac:dyDescent="0.25">
      <c r="A84" s="524"/>
      <c r="B84" s="524"/>
      <c r="C84" s="524"/>
      <c r="D84" s="524"/>
      <c r="E84" s="525"/>
    </row>
    <row r="85" spans="1:5" ht="14.4" x14ac:dyDescent="0.3">
      <c r="A85" s="527" t="s">
        <v>976</v>
      </c>
      <c r="B85" s="527"/>
      <c r="C85" s="527"/>
      <c r="D85" s="527"/>
      <c r="E85" s="528">
        <f>(E79-E80-E81)+(E82+E83+E84)</f>
        <v>0</v>
      </c>
    </row>
    <row r="86" spans="1:5" x14ac:dyDescent="0.25">
      <c r="A86" s="524" t="s">
        <v>963</v>
      </c>
      <c r="B86" s="524" t="s">
        <v>963</v>
      </c>
      <c r="C86" s="524">
        <v>4000</v>
      </c>
      <c r="D86" s="524">
        <v>6100</v>
      </c>
      <c r="E86" s="525">
        <f>SUMIFS('Accounting data'!$G$2:$G$37000,'Accounting data'!$J$2:$J$37000,"4*",'Accounting data'!$K$2:$K$37000,"61*")</f>
        <v>0</v>
      </c>
    </row>
    <row r="87" spans="1:5" x14ac:dyDescent="0.25">
      <c r="A87" s="524" t="s">
        <v>964</v>
      </c>
      <c r="B87" s="524" t="s">
        <v>963</v>
      </c>
      <c r="C87" s="524">
        <v>4000</v>
      </c>
      <c r="D87" s="524">
        <v>6100</v>
      </c>
      <c r="E87" s="525">
        <f>SUMIFS('Accounting data'!$G$2:$G$37000,'Accounting data'!$H$2:$H$37000,"9999*",'Accounting data'!$J$2:$J$37000,"4*",'Accounting data'!$K$2:$K$37000,"61*")</f>
        <v>0</v>
      </c>
    </row>
    <row r="88" spans="1:5" x14ac:dyDescent="0.25">
      <c r="A88" s="524" t="s">
        <v>963</v>
      </c>
      <c r="B88" s="524" t="s">
        <v>965</v>
      </c>
      <c r="C88" s="524">
        <v>4000</v>
      </c>
      <c r="D88" s="524">
        <v>6100</v>
      </c>
      <c r="E88" s="525">
        <f>SUMIFS('Accounting data'!$G$2:$G$37000,'Accounting data'!$I$2:$I$37000,"7*",'Accounting data'!$J$2:$J$37000,"4*",'Accounting data'!$K$2:$K$37000,"61*")+SUMIFS('Accounting data'!$G$2:$G$37000,'Accounting data'!$I$2:$I$37000,"8*",'Accounting data'!$J$2:$J$37000,"4*",'Accounting data'!$K$2:$K$37000,"61*")+SUMIFS('Accounting data'!$G$2:$G$37000,'Accounting data'!$I$2:$I$37000,"9*",'Accounting data'!$J$2:$J$37000,"4*",'Accounting data'!$K$2:$K$37000,"61*")</f>
        <v>0</v>
      </c>
    </row>
    <row r="89" spans="1:5" x14ac:dyDescent="0.25">
      <c r="A89" s="526" t="s">
        <v>964</v>
      </c>
      <c r="B89" s="524" t="s">
        <v>965</v>
      </c>
      <c r="C89" s="524">
        <v>4000</v>
      </c>
      <c r="D89" s="524">
        <v>6100</v>
      </c>
      <c r="E89" s="525">
        <f>SUMIFS('Accounting data'!$G$2:$G$37000,'Accounting data'!$H$2:$H$37000,"9999*",'Accounting data'!$I$2:$I$37000,"7*",'Accounting data'!$J$2:$J$37000,"4*",'Accounting data'!$K$2:$K$37000,"61*")+SUMIFS('Accounting data'!$G$2:$G$37000,'Accounting data'!$H$2:$H$37000,"9999*",'Accounting data'!$I$2:$I$37000,"8*",'Accounting data'!$J$2:$J$37000,"4*",'Accounting data'!$K$2:$K$37000,"61*")+SUMIFS('Accounting data'!$G$2:$G$37000,'Accounting data'!$H$2:$H$37000,"9999*",'Accounting data'!$I$2:$I$37000,"9*",'Accounting data'!$J$2:$J$37000,"4*",'Accounting data'!$K$2:$K$37000,"61*")</f>
        <v>0</v>
      </c>
    </row>
    <row r="90" spans="1:5" x14ac:dyDescent="0.25">
      <c r="A90" s="524"/>
      <c r="B90" s="524"/>
      <c r="C90" s="524"/>
      <c r="D90" s="524"/>
      <c r="E90" s="525"/>
    </row>
    <row r="91" spans="1:5" x14ac:dyDescent="0.25">
      <c r="A91" s="524"/>
      <c r="B91" s="524"/>
      <c r="C91" s="524"/>
      <c r="D91" s="524"/>
      <c r="E91" s="525"/>
    </row>
    <row r="92" spans="1:5" ht="14.4" x14ac:dyDescent="0.3">
      <c r="A92" s="527" t="s">
        <v>977</v>
      </c>
      <c r="B92" s="527"/>
      <c r="C92" s="527"/>
      <c r="D92" s="527"/>
      <c r="E92" s="528">
        <f>(E86-E87-E88)+(E89+E90+E91)</f>
        <v>0</v>
      </c>
    </row>
    <row r="93" spans="1:5" ht="14.4" x14ac:dyDescent="0.3">
      <c r="A93" s="530" t="s">
        <v>978</v>
      </c>
      <c r="B93" s="530"/>
      <c r="C93" s="530"/>
      <c r="D93" s="530"/>
      <c r="E93" s="531">
        <f>E8+E15+E22+E29+E36+E43+E50+E57+E64+E71+E78+E85</f>
        <v>1526533</v>
      </c>
    </row>
    <row r="94" spans="1:5" x14ac:dyDescent="0.25">
      <c r="A94" s="524" t="s">
        <v>979</v>
      </c>
      <c r="B94" s="524" t="s">
        <v>963</v>
      </c>
      <c r="C94" s="524">
        <v>1000</v>
      </c>
      <c r="D94" s="524">
        <v>6100</v>
      </c>
      <c r="E94" s="525">
        <f>SUMIFS('Accounting data'!$G$2:$G$37000,'Accounting data'!$H$2:$H$37000,"11*",'Accounting data'!$J$2:$J$37000,"1*",'Accounting data'!$K$2:$K$37000,"61*")+SUMIFS('Accounting data'!$G$2:$G$37000,'Accounting data'!$H$2:$H$37000,"12*",'Accounting data'!$J$2:$J$37000,"1*",'Accounting data'!$K$2:$K$37000,"61*")+SUMIFS('Accounting data'!$G$2:$G$37000,'Accounting data'!$H$2:$H$37000,"13*",'Accounting data'!$J$2:$J$37000,"1*",'Accounting data'!$K$2:$K$37000,"61*")</f>
        <v>59333</v>
      </c>
    </row>
    <row r="95" spans="1:5" x14ac:dyDescent="0.25">
      <c r="A95" s="524" t="s">
        <v>979</v>
      </c>
      <c r="B95" s="524" t="s">
        <v>963</v>
      </c>
      <c r="C95" s="524">
        <v>2000</v>
      </c>
      <c r="D95" s="524">
        <v>6100</v>
      </c>
      <c r="E95" s="525">
        <f>SUMIFS('Accounting data'!$G$2:$G$37000,'Accounting data'!$H$2:$H$37000,"11*",'Accounting data'!$J$2:$J$37000,"2*",'Accounting data'!$K$2:$K$37000,"61*")+SUMIFS('Accounting data'!$G$2:$G$37000,'Accounting data'!$H$2:$H$37000,"12*",'Accounting data'!$J$2:$J$37000,"2*",'Accounting data'!$K$2:$K$37000,"61*")+SUMIFS('Accounting data'!$G$2:$G$37000,'Accounting data'!$H$2:$H$37000,"13*",'Accounting data'!$J$2:$J$37000,"2*",'Accounting data'!$K$2:$K$37000,"61*")</f>
        <v>0</v>
      </c>
    </row>
    <row r="96" spans="1:5" x14ac:dyDescent="0.25">
      <c r="A96" s="524" t="s">
        <v>979</v>
      </c>
      <c r="B96" s="524" t="s">
        <v>963</v>
      </c>
      <c r="C96" s="524">
        <v>3000</v>
      </c>
      <c r="D96" s="524">
        <v>6100</v>
      </c>
      <c r="E96" s="525">
        <f>SUMIFS('Accounting data'!$G$2:$G$37000,'Accounting data'!$H$2:$H$37000,"11*",'Accounting data'!$J$2:$J$37000,"3*",'Accounting data'!$K$2:$K$37000,"61*")+SUMIFS('Accounting data'!$G$2:$G$37000,'Accounting data'!$H$2:$H$37000,"12*",'Accounting data'!$J$2:$J$37000,"3*",'Accounting data'!$K$2:$K$37000,"61*")+SUMIFS('Accounting data'!$G$2:$G$37000,'Accounting data'!$H$2:$H$37000,"13*",'Accounting data'!$J$2:$J$37000,"3*",'Accounting data'!$K$2:$K$37000,"61*")</f>
        <v>0</v>
      </c>
    </row>
    <row r="97" spans="1:5" x14ac:dyDescent="0.25">
      <c r="A97" s="524" t="s">
        <v>979</v>
      </c>
      <c r="B97" s="526">
        <v>700</v>
      </c>
      <c r="C97" s="524">
        <v>1000</v>
      </c>
      <c r="D97" s="524">
        <v>6100</v>
      </c>
      <c r="E97" s="525">
        <f>SUMIFS('Accounting data'!$G$2:$G$37000,'Accounting data'!$H$2:$H$37000,"11*",'Accounting data'!$I$2:$I$37000,"7*",'Accounting data'!$J$2:$J$37000,"1*",'Accounting data'!$K$2:$K$37000,"61*")+SUMIFS('Accounting data'!$G$2:$G$37000,'Accounting data'!$H$2:$H$37000,"12*",'Accounting data'!$I$2:$I$37000,"7*",'Accounting data'!$J$2:$J$37000,"1*",'Accounting data'!$K$2:$K$37000,"61*")+SUMIFS('Accounting data'!$G$2:$G$37000,'Accounting data'!$H$2:$H$37000,"13*",'Accounting data'!$I$2:$I$37000,"7*",'Accounting data'!$J$2:$J$37000,"1*",'Accounting data'!$K$2:$K$37000,"61*")</f>
        <v>0</v>
      </c>
    </row>
    <row r="98" spans="1:5" x14ac:dyDescent="0.25">
      <c r="A98" s="524" t="s">
        <v>979</v>
      </c>
      <c r="B98" s="526">
        <v>800</v>
      </c>
      <c r="C98" s="524">
        <v>1000</v>
      </c>
      <c r="D98" s="524">
        <v>6100</v>
      </c>
      <c r="E98" s="525">
        <f>SUMIFS('Accounting data'!$G$2:$G$37000,'Accounting data'!$H$2:$H$37000,"11*",'Accounting data'!$I$2:$I$37000,"8*",'Accounting data'!$J$2:$J$37000,"1*",'Accounting data'!$K$2:$K$37000,"61*")+SUMIFS('Accounting data'!$G$2:$G$37000,'Accounting data'!$H$2:$H$37000,"12*",'Accounting data'!$I$2:$I$37000,"8*",'Accounting data'!$J$2:$J$37000,"1*",'Accounting data'!$K$2:$K$37000,"61*")+SUMIFS('Accounting data'!$G$2:$G$37000,'Accounting data'!$H$2:$H$37000,"13*",'Accounting data'!$I$2:$I$37000,"8*",'Accounting data'!$J$2:$J$37000,"1*",'Accounting data'!$K$2:$K$37000,"61*")</f>
        <v>0</v>
      </c>
    </row>
    <row r="99" spans="1:5" x14ac:dyDescent="0.25">
      <c r="A99" s="524" t="s">
        <v>979</v>
      </c>
      <c r="B99" s="526">
        <v>900</v>
      </c>
      <c r="C99" s="524">
        <v>1000</v>
      </c>
      <c r="D99" s="524">
        <v>6100</v>
      </c>
      <c r="E99" s="525">
        <f>SUMIFS('Accounting data'!$G$2:$G$37000,'Accounting data'!$H$2:$H$37000,"11*",'Accounting data'!$I$2:$I$37000,"9*",'Accounting data'!$J$2:$J$37000,"1*",'Accounting data'!$K$2:$K$37000,"61*")+SUMIFS('Accounting data'!$G$2:$G$37000,'Accounting data'!$H$2:$H$37000,"12*",'Accounting data'!$I$2:$I$37000,"9*",'Accounting data'!$J$2:$J$37000,"1*",'Accounting data'!$K$2:$K$37000,"61*")+SUMIFS('Accounting data'!$G$2:$G$37000,'Accounting data'!$H$2:$H$37000,"13*",'Accounting data'!$I$2:$I$37000,"9*",'Accounting data'!$J$2:$J$37000,"1*",'Accounting data'!$K$2:$K$37000,"61*")</f>
        <v>0</v>
      </c>
    </row>
    <row r="100" spans="1:5" x14ac:dyDescent="0.25">
      <c r="A100" s="524" t="s">
        <v>979</v>
      </c>
      <c r="B100" s="526">
        <v>700</v>
      </c>
      <c r="C100" s="524">
        <v>2000</v>
      </c>
      <c r="D100" s="524">
        <v>6100</v>
      </c>
      <c r="E100" s="525">
        <f>SUMIFS('Accounting data'!$G$2:$G$37000,'Accounting data'!$H$2:$H$37000,"11*",'Accounting data'!$I$2:$I$37000,"7*",'Accounting data'!$J$2:$J$37000,"2*",'Accounting data'!$K$2:$K$37000,"61*")+SUMIFS('Accounting data'!$G$2:$G$37000,'Accounting data'!$H$2:$H$37000,"12*",'Accounting data'!$I$2:$I$37000,"7*",'Accounting data'!$J$2:$J$37000,"2*",'Accounting data'!$K$2:$K$37000,"61*")+SUMIFS('Accounting data'!$G$2:$G$37000,'Accounting data'!$H$2:$H$37000,"13*",'Accounting data'!$I$2:$I$37000,"7*",'Accounting data'!$J$2:$J$37000,"2*",'Accounting data'!$K$2:$K$37000,"61*")</f>
        <v>0</v>
      </c>
    </row>
    <row r="101" spans="1:5" x14ac:dyDescent="0.25">
      <c r="A101" s="524" t="s">
        <v>979</v>
      </c>
      <c r="B101" s="526">
        <v>800</v>
      </c>
      <c r="C101" s="524">
        <v>2000</v>
      </c>
      <c r="D101" s="524">
        <v>6100</v>
      </c>
      <c r="E101" s="525">
        <f>SUMIFS('Accounting data'!$G$2:$G$37000,'Accounting data'!$H$2:$H$37000,"11*",'Accounting data'!$I$2:$I$37000,"8*",'Accounting data'!$J$2:$J$37000,"2*",'Accounting data'!$K$2:$K$37000,"61*")+SUMIFS('Accounting data'!$G$2:$G$37000,'Accounting data'!$H$2:$H$37000,"12*",'Accounting data'!$I$2:$I$37000,"8*",'Accounting data'!$J$2:$J$37000,"2*",'Accounting data'!$K$2:$K$37000,"61*")+SUMIFS('Accounting data'!$G$2:$G$37000,'Accounting data'!$H$2:$H$37000,"13*",'Accounting data'!$I$2:$I$37000,"8*",'Accounting data'!$J$2:$J$37000,"2*",'Accounting data'!$K$2:$K$37000,"61*")</f>
        <v>0</v>
      </c>
    </row>
    <row r="102" spans="1:5" x14ac:dyDescent="0.25">
      <c r="A102" s="524" t="s">
        <v>979</v>
      </c>
      <c r="B102" s="526">
        <v>900</v>
      </c>
      <c r="C102" s="524">
        <v>2000</v>
      </c>
      <c r="D102" s="524">
        <v>6100</v>
      </c>
      <c r="E102" s="525">
        <f>SUMIFS('Accounting data'!$G$2:$G$37000,'Accounting data'!$H$2:$H$37000,"11*",'Accounting data'!$I$2:$I$37000,"9*",'Accounting data'!$J$2:$J$37000,"2*",'Accounting data'!$K$2:$K$37000,"61*")+SUMIFS('Accounting data'!$G$2:$G$37000,'Accounting data'!$H$2:$H$37000,"12*",'Accounting data'!$I$2:$I$37000,"9*",'Accounting data'!$J$2:$J$37000,"2*",'Accounting data'!$K$2:$K$37000,"61*")+SUMIFS('Accounting data'!$G$2:$G$37000,'Accounting data'!$H$2:$H$37000,"13*",'Accounting data'!$I$2:$I$37000,"9*",'Accounting data'!$J$2:$J$37000,"2*",'Accounting data'!$K$2:$K$37000,"61*")</f>
        <v>0</v>
      </c>
    </row>
    <row r="103" spans="1:5" x14ac:dyDescent="0.25">
      <c r="A103" s="524" t="s">
        <v>979</v>
      </c>
      <c r="B103" s="526">
        <v>700</v>
      </c>
      <c r="C103" s="524">
        <v>3000</v>
      </c>
      <c r="D103" s="524">
        <v>6100</v>
      </c>
      <c r="E103" s="525">
        <f>SUMIFS('Accounting data'!$G$2:$G$37000,'Accounting data'!$H$2:$H$37000,"11*",'Accounting data'!$I$2:$I$37000,"7*",'Accounting data'!$J$2:$J$37000,"3*",'Accounting data'!$K$2:$K$37000,"61*")+SUMIFS('Accounting data'!$G$2:$G$37000,'Accounting data'!$H$2:$H$37000,"12*",'Accounting data'!$I$2:$I$37000,"7*",'Accounting data'!$J$2:$J$37000,"3*",'Accounting data'!$K$2:$K$37000,"61*")+SUMIFS('Accounting data'!$G$2:$G$37000,'Accounting data'!$H$2:$H$37000,"13*",'Accounting data'!$I$2:$I$37000,"7*",'Accounting data'!$J$2:$J$37000,"3*",'Accounting data'!$K$2:$K$37000,"61*")</f>
        <v>0</v>
      </c>
    </row>
    <row r="104" spans="1:5" x14ac:dyDescent="0.25">
      <c r="A104" s="524" t="s">
        <v>979</v>
      </c>
      <c r="B104" s="526">
        <v>800</v>
      </c>
      <c r="C104" s="524">
        <v>3000</v>
      </c>
      <c r="D104" s="524">
        <v>6100</v>
      </c>
      <c r="E104" s="525">
        <f>SUMIFS('Accounting data'!$G$2:$G$37000,'Accounting data'!$H$2:$H$37000,"11*",'Accounting data'!$I$2:$I$37000,"8*",'Accounting data'!$J$2:$J$37000,"3*",'Accounting data'!$K$2:$K$37000,"61*")+SUMIFS('Accounting data'!$G$2:$G$37000,'Accounting data'!$H$2:$H$37000,"12*",'Accounting data'!$I$2:$I$37000,"8*",'Accounting data'!$J$2:$J$37000,"3*",'Accounting data'!$K$2:$K$37000,"61*")+SUMIFS('Accounting data'!$G$2:$G$37000,'Accounting data'!$H$2:$H$37000,"13*",'Accounting data'!$I$2:$I$37000,"8*",'Accounting data'!$J$2:$J$37000,"3*",'Accounting data'!$K$2:$K$37000,"61*")</f>
        <v>0</v>
      </c>
    </row>
    <row r="105" spans="1:5" x14ac:dyDescent="0.25">
      <c r="A105" s="524" t="s">
        <v>979</v>
      </c>
      <c r="B105" s="526">
        <v>900</v>
      </c>
      <c r="C105" s="524">
        <v>3000</v>
      </c>
      <c r="D105" s="524">
        <v>6100</v>
      </c>
      <c r="E105" s="525">
        <f>SUMIFS('Accounting data'!$G$2:$G$37000,'Accounting data'!$H$2:$H$37000,"11*",'Accounting data'!$I$2:$I$37000,"9*",'Accounting data'!$J$2:$J$37000,"3*",'Accounting data'!$K$2:$K$37000,"61*")+SUMIFS('Accounting data'!$G$2:$G$37000,'Accounting data'!$H$2:$H$37000,"12*",'Accounting data'!$I$2:$I$37000,"9*",'Accounting data'!$J$2:$J$37000,"3*",'Accounting data'!$K$2:$K$37000,"61*")+SUMIFS('Accounting data'!$G$2:$G$37000,'Accounting data'!$H$2:$H$37000,"13*",'Accounting data'!$I$2:$I$37000,"9*",'Accounting data'!$J$2:$J$37000,"3*",'Accounting data'!$K$2:$K$37000,"61*")</f>
        <v>0</v>
      </c>
    </row>
    <row r="106" spans="1:5" ht="14.4" x14ac:dyDescent="0.3">
      <c r="A106" s="527" t="s">
        <v>980</v>
      </c>
      <c r="B106" s="527"/>
      <c r="C106" s="527"/>
      <c r="D106" s="527"/>
      <c r="E106" s="528">
        <f>(E94+E95+E96)-(E97+E98+E99+E100+E101+E102+E103+E104+E105)</f>
        <v>59333</v>
      </c>
    </row>
    <row r="107" spans="1:5" x14ac:dyDescent="0.25">
      <c r="A107" s="524" t="s">
        <v>963</v>
      </c>
      <c r="B107" s="524" t="s">
        <v>963</v>
      </c>
      <c r="C107" s="524">
        <v>1000</v>
      </c>
      <c r="D107" s="524">
        <v>6200</v>
      </c>
      <c r="E107" s="525">
        <f>SUMIFS('Accounting data'!$G$2:$G$37000,'Accounting data'!$J$2:$J$37000,"1*",'Accounting data'!$K$2:$K$37000,"62*")</f>
        <v>61762</v>
      </c>
    </row>
    <row r="108" spans="1:5" x14ac:dyDescent="0.25">
      <c r="A108" s="524" t="s">
        <v>964</v>
      </c>
      <c r="B108" s="524" t="s">
        <v>963</v>
      </c>
      <c r="C108" s="524">
        <v>1000</v>
      </c>
      <c r="D108" s="524">
        <v>6200</v>
      </c>
      <c r="E108" s="525">
        <f>SUMIFS('Accounting data'!$G$2:$G$37000,'Accounting data'!$H$2:$H$37000,"9999*",'Accounting data'!$J$2:$J$37000,"1*",'Accounting data'!$K$2:$K$37000,"62*")</f>
        <v>0</v>
      </c>
    </row>
    <row r="109" spans="1:5" x14ac:dyDescent="0.25">
      <c r="A109" s="524" t="s">
        <v>963</v>
      </c>
      <c r="B109" s="524" t="s">
        <v>965</v>
      </c>
      <c r="C109" s="524">
        <v>1000</v>
      </c>
      <c r="D109" s="524">
        <v>6200</v>
      </c>
      <c r="E109" s="525">
        <f>SUMIFS('Accounting data'!$G$2:$G$37000,'Accounting data'!$I$2:$I$37000,"7*",'Accounting data'!$J$2:$J$37000,"1*",'Accounting data'!$K$2:$K$37000,"62*")+SUMIFS('Accounting data'!$G$2:$G$37000,'Accounting data'!$I$2:$I$37000,"8*",'Accounting data'!$J$2:$J$37000,"1*",'Accounting data'!$K$2:$K$37000,"62*")+SUMIFS('Accounting data'!$G$2:$G$37000,'Accounting data'!$I$2:$I$37000,"9*",'Accounting data'!$J$2:$J$37000,"1*",'Accounting data'!$K$2:$K$37000,"62*")</f>
        <v>0</v>
      </c>
    </row>
    <row r="110" spans="1:5" x14ac:dyDescent="0.25">
      <c r="A110" s="526" t="s">
        <v>964</v>
      </c>
      <c r="B110" s="524" t="s">
        <v>965</v>
      </c>
      <c r="C110" s="524">
        <v>1000</v>
      </c>
      <c r="D110" s="524">
        <v>6200</v>
      </c>
      <c r="E110" s="525">
        <f>SUMIFS('Accounting data'!$G$2:$G$37000,'Accounting data'!$H$2:$H$37000,"9999*",'Accounting data'!$I$2:$I$37000,"7*",'Accounting data'!$J$2:$J$37000,"1*",'Accounting data'!$K$2:$K$37000,"62*")+SUMIFS('Accounting data'!$G$2:$G$37000,'Accounting data'!$H$2:$H$37000,"9999*",'Accounting data'!$I$2:$I$37000,"8*",'Accounting data'!$J$2:$J$37000,"1*",'Accounting data'!$K$2:$K$37000,"62*")+SUMIFS('Accounting data'!$G$2:$G$37000,'Accounting data'!$H$2:$H$37000,"9999*",'Accounting data'!$I$2:$I$37000,"9*",'Accounting data'!$J$2:$J$37000,"1*",'Accounting data'!$K$2:$K$37000,"62*")</f>
        <v>0</v>
      </c>
    </row>
    <row r="113" spans="1:5" ht="14.4" x14ac:dyDescent="0.3">
      <c r="A113" s="527" t="s">
        <v>981</v>
      </c>
      <c r="B113" s="527"/>
      <c r="C113" s="527"/>
      <c r="D113" s="527"/>
      <c r="E113" s="528">
        <f>(E107-E108-E109)+(E110+E111+E112)</f>
        <v>61762</v>
      </c>
    </row>
    <row r="114" spans="1:5" x14ac:dyDescent="0.25">
      <c r="A114" s="524" t="s">
        <v>963</v>
      </c>
      <c r="B114" s="524" t="s">
        <v>963</v>
      </c>
      <c r="C114" s="524">
        <v>2100</v>
      </c>
      <c r="D114" s="524">
        <v>6200</v>
      </c>
      <c r="E114" s="525">
        <f>SUMIFS('Accounting data'!$G$2:$G$37000,'Accounting data'!$J$2:$J$37000,"21*",'Accounting data'!$K$2:$K$37000,"62*")</f>
        <v>0</v>
      </c>
    </row>
    <row r="115" spans="1:5" x14ac:dyDescent="0.25">
      <c r="A115" s="524" t="s">
        <v>964</v>
      </c>
      <c r="B115" s="524" t="s">
        <v>963</v>
      </c>
      <c r="C115" s="524">
        <v>2100</v>
      </c>
      <c r="D115" s="524">
        <v>6200</v>
      </c>
      <c r="E115" s="525">
        <f>SUMIFS('Accounting data'!$G$2:$G$37000,'Accounting data'!$H$2:$H$37000,"9999*",'Accounting data'!$J$2:$J$37000,"21*",'Accounting data'!$K$2:$K$37000,"62*")</f>
        <v>0</v>
      </c>
    </row>
    <row r="116" spans="1:5" x14ac:dyDescent="0.25">
      <c r="A116" s="524" t="s">
        <v>963</v>
      </c>
      <c r="B116" s="524" t="s">
        <v>965</v>
      </c>
      <c r="C116" s="524">
        <v>2100</v>
      </c>
      <c r="D116" s="524">
        <v>6200</v>
      </c>
      <c r="E116" s="525">
        <f>SUMIFS('Accounting data'!$G$2:$G$37000,'Accounting data'!$I$2:$I$37000,"7*",'Accounting data'!$J$2:$J$37000,"21*",'Accounting data'!$K$2:$K$37000,"62*")+SUMIFS('Accounting data'!$G$2:$G$37000,'Accounting data'!$I$2:$I$37000,"8*",'Accounting data'!$J$2:$J$37000,"21*",'Accounting data'!$K$2:$K$37000,"62*")+SUMIFS('Accounting data'!$G$2:$G$37000,'Accounting data'!$I$2:$I$37000,"9*",'Accounting data'!$J$2:$J$37000,"21*",'Accounting data'!$K$2:$K$37000,"62*")</f>
        <v>0</v>
      </c>
    </row>
    <row r="117" spans="1:5" x14ac:dyDescent="0.25">
      <c r="A117" s="526" t="s">
        <v>964</v>
      </c>
      <c r="B117" s="524" t="s">
        <v>965</v>
      </c>
      <c r="C117" s="524">
        <v>2100</v>
      </c>
      <c r="D117" s="524">
        <v>6200</v>
      </c>
      <c r="E117" s="525">
        <f>SUMIFS('Accounting data'!$G$2:$G$37000,'Accounting data'!$H$2:$H$37000,"9999*",'Accounting data'!$I$2:$I$37000,"7*",'Accounting data'!$J$2:$J$37000,"21*",'Accounting data'!$K$2:$K$37000,"62*")+SUMIFS('Accounting data'!$G$2:$G$37000,'Accounting data'!$H$2:$H$37000,"9999*",'Accounting data'!$I$2:$I$37000,"8*",'Accounting data'!$J$2:$J$37000,"21*",'Accounting data'!$K$2:$K$37000,"62*")+SUMIFS('Accounting data'!$G$2:$G$37000,'Accounting data'!$H$2:$H$37000,"9999*",'Accounting data'!$I$2:$I$37000,"9*",'Accounting data'!$J$2:$J$37000,"21*",'Accounting data'!$K$2:$K$37000,"62*")</f>
        <v>0</v>
      </c>
    </row>
    <row r="118" spans="1:5" x14ac:dyDescent="0.25">
      <c r="A118" s="524"/>
      <c r="B118" s="524"/>
      <c r="C118" s="524"/>
      <c r="D118" s="524"/>
      <c r="E118" s="525"/>
    </row>
    <row r="119" spans="1:5" x14ac:dyDescent="0.25">
      <c r="A119" s="524"/>
      <c r="B119" s="524"/>
      <c r="C119" s="524"/>
      <c r="D119" s="524"/>
      <c r="E119" s="525"/>
    </row>
    <row r="120" spans="1:5" ht="14.4" x14ac:dyDescent="0.3">
      <c r="A120" s="527" t="s">
        <v>982</v>
      </c>
      <c r="B120" s="527"/>
      <c r="C120" s="527"/>
      <c r="D120" s="527"/>
      <c r="E120" s="528">
        <f>(E114-E115-E116)+(E117+E118+E119)</f>
        <v>0</v>
      </c>
    </row>
    <row r="121" spans="1:5" x14ac:dyDescent="0.25">
      <c r="A121" s="524" t="s">
        <v>963</v>
      </c>
      <c r="B121" s="524" t="s">
        <v>963</v>
      </c>
      <c r="C121" s="524">
        <v>2200</v>
      </c>
      <c r="D121" s="524">
        <v>6200</v>
      </c>
      <c r="E121" s="525">
        <f>SUMIFS('Accounting data'!$G$2:$G$37000,'Accounting data'!$J$2:$J$37000,"22*",'Accounting data'!$K$2:$K$37000,"62*")</f>
        <v>0</v>
      </c>
    </row>
    <row r="122" spans="1:5" x14ac:dyDescent="0.25">
      <c r="A122" s="524" t="s">
        <v>964</v>
      </c>
      <c r="B122" s="524" t="s">
        <v>963</v>
      </c>
      <c r="C122" s="524">
        <v>2200</v>
      </c>
      <c r="D122" s="524">
        <v>6200</v>
      </c>
      <c r="E122" s="525">
        <f>SUMIFS('Accounting data'!$G$2:$G$37000,'Accounting data'!$H$2:$H$37000,"9999*",'Accounting data'!$J$2:$J$37000,"22*",'Accounting data'!$K$2:$K$37000,"62*")</f>
        <v>0</v>
      </c>
    </row>
    <row r="123" spans="1:5" x14ac:dyDescent="0.25">
      <c r="A123" s="524" t="s">
        <v>963</v>
      </c>
      <c r="B123" s="524" t="s">
        <v>965</v>
      </c>
      <c r="C123" s="524">
        <v>2200</v>
      </c>
      <c r="D123" s="524">
        <v>6200</v>
      </c>
      <c r="E123" s="525">
        <f>SUMIFS('Accounting data'!$G$2:$G$37000,'Accounting data'!$I$2:$I$37000,"7*",'Accounting data'!$J$2:$J$37000,"22*",'Accounting data'!$K$2:$K$37000,"62*")+SUMIFS('Accounting data'!$G$2:$G$37000,'Accounting data'!$I$2:$I$37000,"8*",'Accounting data'!$J$2:$J$37000,"22*",'Accounting data'!$K$2:$K$37000,"62*")+SUMIFS('Accounting data'!$G$2:$G$37000,'Accounting data'!$I$2:$I$37000,"9*",'Accounting data'!$J$2:$J$37000,"22*",'Accounting data'!$K$2:$K$37000,"62*")</f>
        <v>0</v>
      </c>
    </row>
    <row r="124" spans="1:5" x14ac:dyDescent="0.25">
      <c r="A124" s="526" t="s">
        <v>964</v>
      </c>
      <c r="B124" s="524" t="s">
        <v>965</v>
      </c>
      <c r="C124" s="524">
        <v>2200</v>
      </c>
      <c r="D124" s="524">
        <v>6200</v>
      </c>
      <c r="E124" s="525">
        <f>SUMIFS('Accounting data'!$G$2:$G$37000,'Accounting data'!$H$2:$H$37000,"9999*",'Accounting data'!$I$2:$I$37000,"7*",'Accounting data'!$J$2:$J$37000,"22*",'Accounting data'!$K$2:$K$37000,"62*")+SUMIFS('Accounting data'!$G$2:$G$37000,'Accounting data'!$H$2:$H$37000,"9999*",'Accounting data'!$I$2:$I$37000,"8*",'Accounting data'!$J$2:$J$37000,"22*",'Accounting data'!$K$2:$K$37000,"62*")+SUMIFS('Accounting data'!$G$2:$G$37000,'Accounting data'!$H$2:$H$37000,"9999*",'Accounting data'!$I$2:$I$37000,"9*",'Accounting data'!$J$2:$J$37000,"22*",'Accounting data'!$K$2:$K$37000,"62*")</f>
        <v>0</v>
      </c>
    </row>
    <row r="125" spans="1:5" x14ac:dyDescent="0.25">
      <c r="A125" s="524"/>
      <c r="B125" s="524"/>
      <c r="C125" s="524"/>
      <c r="D125" s="524"/>
      <c r="E125" s="525"/>
    </row>
    <row r="126" spans="1:5" x14ac:dyDescent="0.25">
      <c r="A126" s="524"/>
      <c r="B126" s="524"/>
      <c r="C126" s="524"/>
      <c r="D126" s="524"/>
      <c r="E126" s="525"/>
    </row>
    <row r="127" spans="1:5" ht="14.4" x14ac:dyDescent="0.3">
      <c r="A127" s="527" t="s">
        <v>983</v>
      </c>
      <c r="B127" s="527"/>
      <c r="C127" s="527"/>
      <c r="D127" s="527"/>
      <c r="E127" s="528">
        <f>(E121-E122-E123)+(E124+E125+E126)</f>
        <v>0</v>
      </c>
    </row>
    <row r="128" spans="1:5" x14ac:dyDescent="0.25">
      <c r="A128" s="524" t="s">
        <v>963</v>
      </c>
      <c r="B128" s="524" t="s">
        <v>963</v>
      </c>
      <c r="C128" s="524">
        <v>2300</v>
      </c>
      <c r="D128" s="524">
        <v>6200</v>
      </c>
      <c r="E128" s="525">
        <f>SUMIFS('Accounting data'!$G$2:$G$37000,'Accounting data'!$J$2:$J$37000,"23*",'Accounting data'!$K$2:$K$37000,"62*")</f>
        <v>0</v>
      </c>
    </row>
    <row r="129" spans="1:5" x14ac:dyDescent="0.25">
      <c r="A129" s="524" t="s">
        <v>964</v>
      </c>
      <c r="B129" s="524" t="s">
        <v>963</v>
      </c>
      <c r="C129" s="524">
        <v>2300</v>
      </c>
      <c r="D129" s="524">
        <v>6200</v>
      </c>
      <c r="E129" s="525">
        <f>SUMIFS('Accounting data'!$G$2:$G$37000,'Accounting data'!$H$2:$H$37000,"9999*",'Accounting data'!$J$2:$J$37000,"23*",'Accounting data'!$K$2:$K$37000,"62*")</f>
        <v>0</v>
      </c>
    </row>
    <row r="130" spans="1:5" x14ac:dyDescent="0.25">
      <c r="A130" s="524" t="s">
        <v>963</v>
      </c>
      <c r="B130" s="524" t="s">
        <v>965</v>
      </c>
      <c r="C130" s="524">
        <v>2300</v>
      </c>
      <c r="D130" s="524">
        <v>6200</v>
      </c>
      <c r="E130" s="525">
        <f>SUMIFS('Accounting data'!$G$2:$G$37000,'Accounting data'!$I$2:$I$37000,"7*",'Accounting data'!$J$2:$J$37000,"23*",'Accounting data'!$K$2:$K$37000,"62*")+SUMIFS('Accounting data'!$G$2:$G$37000,'Accounting data'!$I$2:$I$37000,"8*",'Accounting data'!$J$2:$J$37000,"23*",'Accounting data'!$K$2:$K$37000,"62*")+SUMIFS('Accounting data'!$G$2:$G$37000,'Accounting data'!$I$2:$I$37000,"9*",'Accounting data'!$J$2:$J$37000,"23*",'Accounting data'!$K$2:$K$37000,"62*")</f>
        <v>0</v>
      </c>
    </row>
    <row r="131" spans="1:5" x14ac:dyDescent="0.25">
      <c r="A131" s="526" t="s">
        <v>964</v>
      </c>
      <c r="B131" s="524" t="s">
        <v>965</v>
      </c>
      <c r="C131" s="524">
        <v>2300</v>
      </c>
      <c r="D131" s="524">
        <v>6200</v>
      </c>
      <c r="E131" s="525">
        <f>SUMIFS('Accounting data'!$G$2:$G$37000,'Accounting data'!$H$2:$H$37000,"9999*",'Accounting data'!$I$2:$I$37000,"7*",'Accounting data'!$J$2:$J$37000,"23*",'Accounting data'!$K$2:$K$37000,"62*")+SUMIFS('Accounting data'!$G$2:$G$37000,'Accounting data'!$H$2:$H$37000,"9999*",'Accounting data'!$I$2:$I$37000,"8*",'Accounting data'!$J$2:$J$37000,"23*",'Accounting data'!$K$2:$K$37000,"62*")+SUMIFS('Accounting data'!$G$2:$G$37000,'Accounting data'!$H$2:$H$37000,"9999*",'Accounting data'!$I$2:$I$37000,"9*",'Accounting data'!$J$2:$J$37000,"23*",'Accounting data'!$K$2:$K$37000,"62*")</f>
        <v>0</v>
      </c>
    </row>
    <row r="132" spans="1:5" x14ac:dyDescent="0.25">
      <c r="A132" s="524"/>
      <c r="B132" s="524"/>
      <c r="C132" s="524"/>
      <c r="D132" s="524"/>
      <c r="E132" s="525"/>
    </row>
    <row r="133" spans="1:5" x14ac:dyDescent="0.25">
      <c r="A133" s="524"/>
      <c r="B133" s="524"/>
      <c r="C133" s="524"/>
      <c r="D133" s="524"/>
      <c r="E133" s="525"/>
    </row>
    <row r="134" spans="1:5" ht="14.4" x14ac:dyDescent="0.3">
      <c r="A134" s="527" t="s">
        <v>984</v>
      </c>
      <c r="B134" s="527"/>
      <c r="C134" s="527"/>
      <c r="D134" s="527"/>
      <c r="E134" s="528">
        <f>(E128-E129-E130)+(E131+E132+E133)</f>
        <v>0</v>
      </c>
    </row>
    <row r="135" spans="1:5" x14ac:dyDescent="0.25">
      <c r="A135" s="524" t="s">
        <v>963</v>
      </c>
      <c r="B135" s="524" t="s">
        <v>963</v>
      </c>
      <c r="C135" s="524">
        <v>2400</v>
      </c>
      <c r="D135" s="524">
        <v>6200</v>
      </c>
      <c r="E135" s="525">
        <f>SUMIFS('Accounting data'!$G$2:$G$37000,'Accounting data'!$J$2:$J$37000,"24*",'Accounting data'!$K$2:$K$37000,"62*")</f>
        <v>24589</v>
      </c>
    </row>
    <row r="136" spans="1:5" x14ac:dyDescent="0.25">
      <c r="A136" s="524" t="s">
        <v>964</v>
      </c>
      <c r="B136" s="524" t="s">
        <v>963</v>
      </c>
      <c r="C136" s="524">
        <v>2400</v>
      </c>
      <c r="D136" s="524">
        <v>6200</v>
      </c>
      <c r="E136" s="525">
        <f>SUMIFS('Accounting data'!$G$2:$G$37000,'Accounting data'!$H$2:$H$37000,"9999*",'Accounting data'!$J$2:$J$37000,"24*",'Accounting data'!$K$2:$K$37000,"62*")</f>
        <v>0</v>
      </c>
    </row>
    <row r="137" spans="1:5" x14ac:dyDescent="0.25">
      <c r="A137" s="524" t="s">
        <v>963</v>
      </c>
      <c r="B137" s="524" t="s">
        <v>965</v>
      </c>
      <c r="C137" s="524">
        <v>2400</v>
      </c>
      <c r="D137" s="524">
        <v>6200</v>
      </c>
      <c r="E137" s="525">
        <f>SUMIFS('Accounting data'!$G$2:$G$37000,'Accounting data'!$I$2:$I$37000,"7*",'Accounting data'!$J$2:$J$37000,"24*",'Accounting data'!$K$2:$K$37000,"62*")+SUMIFS('Accounting data'!$G$2:$G$37000,'Accounting data'!$I$2:$I$37000,"8*",'Accounting data'!$J$2:$J$37000,"24*",'Accounting data'!$K$2:$K$37000,"62*")+SUMIFS('Accounting data'!$G$2:$G$37000,'Accounting data'!$I$2:$I$37000,"9*",'Accounting data'!$J$2:$J$37000,"24*",'Accounting data'!$K$2:$K$37000,"62*")</f>
        <v>0</v>
      </c>
    </row>
    <row r="138" spans="1:5" x14ac:dyDescent="0.25">
      <c r="A138" s="526" t="s">
        <v>964</v>
      </c>
      <c r="B138" s="524" t="s">
        <v>965</v>
      </c>
      <c r="C138" s="524">
        <v>2400</v>
      </c>
      <c r="D138" s="524">
        <v>6200</v>
      </c>
      <c r="E138" s="525">
        <f>SUMIFS('Accounting data'!$G$2:$G$37000,'Accounting data'!$H$2:$H$37000,"9999*",'Accounting data'!$I$2:$I$37000,"7*",'Accounting data'!$J$2:$J$37000,"24*",'Accounting data'!$K$2:$K$37000,"62*")+SUMIFS('Accounting data'!$G$2:$G$37000,'Accounting data'!$H$2:$H$37000,"9999*",'Accounting data'!$I$2:$I$37000,"8*",'Accounting data'!$J$2:$J$37000,"24*",'Accounting data'!$K$2:$K$37000,"62*")+SUMIFS('Accounting data'!$G$2:$G$37000,'Accounting data'!$H$2:$H$37000,"9999*",'Accounting data'!$I$2:$I$37000,"9*",'Accounting data'!$J$2:$J$37000,"24*",'Accounting data'!$K$2:$K$37000,"62*")</f>
        <v>0</v>
      </c>
    </row>
    <row r="139" spans="1:5" x14ac:dyDescent="0.25">
      <c r="A139" s="524"/>
      <c r="B139" s="524"/>
      <c r="C139" s="524"/>
      <c r="D139" s="524"/>
      <c r="E139" s="525"/>
    </row>
    <row r="140" spans="1:5" x14ac:dyDescent="0.25">
      <c r="A140" s="524"/>
      <c r="B140" s="524"/>
      <c r="C140" s="524"/>
      <c r="D140" s="524"/>
      <c r="E140" s="525"/>
    </row>
    <row r="141" spans="1:5" ht="14.4" x14ac:dyDescent="0.3">
      <c r="A141" s="527" t="s">
        <v>985</v>
      </c>
      <c r="B141" s="527"/>
      <c r="C141" s="527"/>
      <c r="D141" s="527"/>
      <c r="E141" s="528">
        <f>(E135-E136-E137)+(E138+E139+E140)</f>
        <v>24589</v>
      </c>
    </row>
    <row r="142" spans="1:5" x14ac:dyDescent="0.25">
      <c r="A142" s="524" t="s">
        <v>963</v>
      </c>
      <c r="B142" s="524" t="s">
        <v>963</v>
      </c>
      <c r="C142" s="524">
        <v>2500</v>
      </c>
      <c r="D142" s="524">
        <v>6200</v>
      </c>
      <c r="E142" s="525">
        <f>SUMIFS('Accounting data'!$G$2:$G$37000,'Accounting data'!$J$2:$J$37000,"25*",'Accounting data'!$K$2:$K$37000,"62*")</f>
        <v>0</v>
      </c>
    </row>
    <row r="143" spans="1:5" x14ac:dyDescent="0.25">
      <c r="A143" s="524" t="s">
        <v>964</v>
      </c>
      <c r="B143" s="524" t="s">
        <v>963</v>
      </c>
      <c r="C143" s="524">
        <v>2500</v>
      </c>
      <c r="D143" s="524">
        <v>6200</v>
      </c>
      <c r="E143" s="525">
        <f>SUMIFS('Accounting data'!$G$2:$G$37000,'Accounting data'!$H$2:$H$37000,"9999*",'Accounting data'!$J$2:$J$37000,"25*",'Accounting data'!$K$2:$K$37000,"62*")</f>
        <v>0</v>
      </c>
    </row>
    <row r="144" spans="1:5" x14ac:dyDescent="0.25">
      <c r="A144" s="524" t="s">
        <v>963</v>
      </c>
      <c r="B144" s="524" t="s">
        <v>965</v>
      </c>
      <c r="C144" s="524">
        <v>2500</v>
      </c>
      <c r="D144" s="524">
        <v>6200</v>
      </c>
      <c r="E144" s="525">
        <f>SUMIFS('Accounting data'!$G$2:$G$37000,'Accounting data'!$I$2:$I$37000,"7*",'Accounting data'!$J$2:$J$37000,"25*",'Accounting data'!$K$2:$K$37000,"62*")+SUMIFS('Accounting data'!$G$2:$G$37000,'Accounting data'!$I$2:$I$37000,"8*",'Accounting data'!$J$2:$J$37000,"25*",'Accounting data'!$K$2:$K$37000,"62*")+SUMIFS('Accounting data'!$G$2:$G$37000,'Accounting data'!$I$2:$I$37000,"9*",'Accounting data'!$J$2:$J$37000,"25*",'Accounting data'!$K$2:$K$37000,"62*")</f>
        <v>0</v>
      </c>
    </row>
    <row r="145" spans="1:5" x14ac:dyDescent="0.25">
      <c r="A145" s="526" t="s">
        <v>964</v>
      </c>
      <c r="B145" s="524" t="s">
        <v>965</v>
      </c>
      <c r="C145" s="524">
        <v>2500</v>
      </c>
      <c r="D145" s="524">
        <v>6200</v>
      </c>
      <c r="E145" s="525">
        <f>SUMIFS('Accounting data'!$G$2:$G$37000,'Accounting data'!$H$2:$H$37000,"9999*",'Accounting data'!$I$2:$I$37000,"7*",'Accounting data'!$J$2:$J$37000,"25*",'Accounting data'!$K$2:$K$37000,"62*")+SUMIFS('Accounting data'!$G$2:$G$37000,'Accounting data'!$H$2:$H$37000,"9999*",'Accounting data'!$I$2:$I$37000,"8*",'Accounting data'!$J$2:$J$37000,"25*",'Accounting data'!$K$2:$K$37000,"62*")+SUMIFS('Accounting data'!$G$2:$G$37000,'Accounting data'!$H$2:$H$37000,"9999*",'Accounting data'!$I$2:$I$37000,"9*",'Accounting data'!$J$2:$J$37000,"25*",'Accounting data'!$K$2:$K$37000,"62*")</f>
        <v>0</v>
      </c>
    </row>
    <row r="146" spans="1:5" x14ac:dyDescent="0.25">
      <c r="A146" s="524"/>
      <c r="B146" s="524"/>
      <c r="C146" s="524"/>
      <c r="D146" s="524"/>
      <c r="E146" s="525"/>
    </row>
    <row r="147" spans="1:5" x14ac:dyDescent="0.25">
      <c r="A147" s="524"/>
      <c r="B147" s="524"/>
      <c r="C147" s="524"/>
      <c r="D147" s="524"/>
      <c r="E147" s="525"/>
    </row>
    <row r="148" spans="1:5" ht="14.4" x14ac:dyDescent="0.3">
      <c r="A148" s="527" t="s">
        <v>986</v>
      </c>
      <c r="B148" s="527"/>
      <c r="C148" s="527"/>
      <c r="D148" s="527"/>
      <c r="E148" s="528">
        <f>(E142-E143-E144)+(E145+E146+E147)</f>
        <v>0</v>
      </c>
    </row>
    <row r="149" spans="1:5" x14ac:dyDescent="0.25">
      <c r="A149" s="524" t="s">
        <v>963</v>
      </c>
      <c r="B149" s="524" t="s">
        <v>963</v>
      </c>
      <c r="C149" s="524">
        <v>2900</v>
      </c>
      <c r="D149" s="524">
        <v>6200</v>
      </c>
      <c r="E149" s="525">
        <f>SUMIFS('Accounting data'!$G$2:$G$37000,'Accounting data'!$J$2:$J$37000,"29*",'Accounting data'!$K$2:$K$37000,"62*")</f>
        <v>0</v>
      </c>
    </row>
    <row r="150" spans="1:5" x14ac:dyDescent="0.25">
      <c r="A150" s="524" t="s">
        <v>964</v>
      </c>
      <c r="B150" s="524" t="s">
        <v>963</v>
      </c>
      <c r="C150" s="524">
        <v>2900</v>
      </c>
      <c r="D150" s="524">
        <v>6200</v>
      </c>
      <c r="E150" s="525">
        <f>SUMIFS('Accounting data'!$G$2:$G$37000,'Accounting data'!$H$2:$H$37000,"9999*",'Accounting data'!$J$2:$J$37000,"29*",'Accounting data'!$K$2:$K$37000,"62*")</f>
        <v>0</v>
      </c>
    </row>
    <row r="151" spans="1:5" x14ac:dyDescent="0.25">
      <c r="A151" s="524" t="s">
        <v>963</v>
      </c>
      <c r="B151" s="524" t="s">
        <v>965</v>
      </c>
      <c r="C151" s="524">
        <v>2900</v>
      </c>
      <c r="D151" s="524">
        <v>6200</v>
      </c>
      <c r="E151" s="525">
        <f>SUMIFS('Accounting data'!$G$2:$G$37000,'Accounting data'!$I$2:$I$37000,"7*",'Accounting data'!$J$2:$J$37000,"29*",'Accounting data'!$K$2:$K$37000,"62*")+SUMIFS('Accounting data'!$G$2:$G$37000,'Accounting data'!$I$2:$I$37000,"8*",'Accounting data'!$J$2:$J$37000,"29*",'Accounting data'!$K$2:$K$37000,"62*")+SUMIFS('Accounting data'!$G$2:$G$37000,'Accounting data'!$I$2:$I$37000,"9*",'Accounting data'!$J$2:$J$37000,"29*",'Accounting data'!$K$2:$K$37000,"62*")</f>
        <v>0</v>
      </c>
    </row>
    <row r="152" spans="1:5" x14ac:dyDescent="0.25">
      <c r="A152" s="526" t="s">
        <v>964</v>
      </c>
      <c r="B152" s="524" t="s">
        <v>965</v>
      </c>
      <c r="C152" s="524">
        <v>2900</v>
      </c>
      <c r="D152" s="524">
        <v>6200</v>
      </c>
      <c r="E152" s="525">
        <f>SUMIFS('Accounting data'!$G$2:$G$37000,'Accounting data'!$H$2:$H$37000,"9999*",'Accounting data'!$I$2:$I$37000,"7*",'Accounting data'!$J$2:$J$37000,"29*",'Accounting data'!$K$2:$K$37000,"62*")+SUMIFS('Accounting data'!$G$2:$G$37000,'Accounting data'!$H$2:$H$37000,"9999*",'Accounting data'!$I$2:$I$37000,"8*",'Accounting data'!$J$2:$J$37000,"29*",'Accounting data'!$K$2:$K$37000,"62*")+SUMIFS('Accounting data'!$G$2:$G$37000,'Accounting data'!$H$2:$H$37000,"9999*",'Accounting data'!$I$2:$I$37000,"9*",'Accounting data'!$J$2:$J$37000,"29*",'Accounting data'!$K$2:$K$37000,"62*")</f>
        <v>0</v>
      </c>
    </row>
    <row r="153" spans="1:5" x14ac:dyDescent="0.25">
      <c r="A153" s="524"/>
      <c r="B153" s="524"/>
      <c r="C153" s="524"/>
      <c r="D153" s="524"/>
      <c r="E153" s="525"/>
    </row>
    <row r="154" spans="1:5" x14ac:dyDescent="0.25">
      <c r="A154" s="524"/>
      <c r="B154" s="524"/>
      <c r="C154" s="524"/>
      <c r="D154" s="524"/>
      <c r="E154" s="525"/>
    </row>
    <row r="155" spans="1:5" ht="14.4" x14ac:dyDescent="0.3">
      <c r="A155" s="527" t="s">
        <v>987</v>
      </c>
      <c r="B155" s="527"/>
      <c r="C155" s="527"/>
      <c r="D155" s="527"/>
      <c r="E155" s="528">
        <f>(E149-E150-E151)+(E152+E153+E154)</f>
        <v>0</v>
      </c>
    </row>
    <row r="156" spans="1:5" x14ac:dyDescent="0.25">
      <c r="A156" s="524" t="s">
        <v>963</v>
      </c>
      <c r="B156" s="524" t="s">
        <v>963</v>
      </c>
      <c r="C156" s="524">
        <v>2600</v>
      </c>
      <c r="D156" s="524">
        <v>6200</v>
      </c>
      <c r="E156" s="525">
        <f>SUMIFS('Accounting data'!$G$2:$G$37000,'Accounting data'!$J$2:$J$37000,"26*",'Accounting data'!$K$2:$K$37000,"62*")</f>
        <v>0</v>
      </c>
    </row>
    <row r="157" spans="1:5" x14ac:dyDescent="0.25">
      <c r="A157" s="524" t="s">
        <v>964</v>
      </c>
      <c r="B157" s="524" t="s">
        <v>963</v>
      </c>
      <c r="C157" s="524">
        <v>2600</v>
      </c>
      <c r="D157" s="524">
        <v>6200</v>
      </c>
      <c r="E157" s="525">
        <f>SUMIFS('Accounting data'!$G$2:$G$37000,'Accounting data'!$H$2:$H$37000,"9999*",'Accounting data'!$J$2:$J$37000,"26*",'Accounting data'!$K$2:$K$37000,"62*")</f>
        <v>0</v>
      </c>
    </row>
    <row r="158" spans="1:5" x14ac:dyDescent="0.25">
      <c r="A158" s="524" t="s">
        <v>963</v>
      </c>
      <c r="B158" s="524" t="s">
        <v>965</v>
      </c>
      <c r="C158" s="524">
        <v>2600</v>
      </c>
      <c r="D158" s="524">
        <v>6200</v>
      </c>
      <c r="E158" s="525">
        <f>SUMIFS('Accounting data'!$G$2:$G$37000,'Accounting data'!$I$2:$I$37000,"7*",'Accounting data'!$J$2:$J$37000,"26*",'Accounting data'!$K$2:$K$37000,"62*")+SUMIFS('Accounting data'!$G$2:$G$37000,'Accounting data'!$I$2:$I$37000,"8*",'Accounting data'!$J$2:$J$37000,"26*",'Accounting data'!$K$2:$K$37000,"62*")+SUMIFS('Accounting data'!$G$2:$G$37000,'Accounting data'!$I$2:$I$37000,"9*",'Accounting data'!$J$2:$J$37000,"26*",'Accounting data'!$K$2:$K$37000,"62*")</f>
        <v>0</v>
      </c>
    </row>
    <row r="159" spans="1:5" x14ac:dyDescent="0.25">
      <c r="A159" s="526" t="s">
        <v>964</v>
      </c>
      <c r="B159" s="524" t="s">
        <v>965</v>
      </c>
      <c r="C159" s="524">
        <v>2600</v>
      </c>
      <c r="D159" s="524">
        <v>6200</v>
      </c>
      <c r="E159" s="525">
        <f>SUMIFS('Accounting data'!$G$2:$G$37000,'Accounting data'!$H$2:$H$37000,"9999*",'Accounting data'!$I$2:$I$37000,"7*",'Accounting data'!$J$2:$J$37000,"26*",'Accounting data'!$K$2:$K$37000,"62*")+SUMIFS('Accounting data'!$G$2:$G$37000,'Accounting data'!$H$2:$H$37000,"9999*",'Accounting data'!$I$2:$I$37000,"8*",'Accounting data'!$J$2:$J$37000,"26*",'Accounting data'!$K$2:$K$37000,"62*")+SUMIFS('Accounting data'!$G$2:$G$37000,'Accounting data'!$H$2:$H$37000,"9999*",'Accounting data'!$I$2:$I$37000,"9*",'Accounting data'!$J$2:$J$37000,"26*",'Accounting data'!$K$2:$K$37000,"62*")</f>
        <v>0</v>
      </c>
    </row>
    <row r="162" spans="1:5" ht="14.4" x14ac:dyDescent="0.3">
      <c r="A162" s="527" t="s">
        <v>988</v>
      </c>
      <c r="B162" s="527"/>
      <c r="C162" s="527"/>
      <c r="D162" s="527"/>
      <c r="E162" s="528">
        <f>(E156-E157-E158)+(E159+E160+E161)</f>
        <v>0</v>
      </c>
    </row>
    <row r="163" spans="1:5" x14ac:dyDescent="0.25">
      <c r="A163" s="524" t="s">
        <v>963</v>
      </c>
      <c r="B163" s="524" t="s">
        <v>963</v>
      </c>
      <c r="C163" s="524">
        <v>2700</v>
      </c>
      <c r="D163" s="524">
        <v>6200</v>
      </c>
      <c r="E163" s="525">
        <f>SUMIFS('Accounting data'!$G$2:$G$37000,'Accounting data'!$J$2:$J$37000,"27*",'Accounting data'!$K$2:$K$37000,"62*")</f>
        <v>0</v>
      </c>
    </row>
    <row r="164" spans="1:5" x14ac:dyDescent="0.25">
      <c r="A164" s="524" t="s">
        <v>964</v>
      </c>
      <c r="B164" s="524" t="s">
        <v>963</v>
      </c>
      <c r="C164" s="524">
        <v>2700</v>
      </c>
      <c r="D164" s="524">
        <v>6200</v>
      </c>
      <c r="E164" s="525">
        <f>SUMIFS('Accounting data'!$G$2:$G$37000,'Accounting data'!$H$2:$H$37000,"9999*",'Accounting data'!$J$2:$J$37000,"27*",'Accounting data'!$K$2:$K$37000,"62*")</f>
        <v>0</v>
      </c>
    </row>
    <row r="165" spans="1:5" x14ac:dyDescent="0.25">
      <c r="A165" s="524" t="s">
        <v>963</v>
      </c>
      <c r="B165" s="524" t="s">
        <v>965</v>
      </c>
      <c r="C165" s="524">
        <v>2700</v>
      </c>
      <c r="D165" s="524">
        <v>6200</v>
      </c>
      <c r="E165" s="525">
        <f>SUMIFS('Accounting data'!$G$2:$G$37000,'Accounting data'!$I$2:$I$37000,"7*",'Accounting data'!$J$2:$J$37000,"27*",'Accounting data'!$K$2:$K$37000,"62*")+SUMIFS('Accounting data'!$G$2:$G$37000,'Accounting data'!$I$2:$I$37000,"8*",'Accounting data'!$J$2:$J$37000,"27*",'Accounting data'!$K$2:$K$37000,"62*")+SUMIFS('Accounting data'!$G$2:$G$37000,'Accounting data'!$I$2:$I$37000,"9*",'Accounting data'!$J$2:$J$37000,"27*",'Accounting data'!$K$2:$K$37000,"62*")</f>
        <v>0</v>
      </c>
    </row>
    <row r="166" spans="1:5" x14ac:dyDescent="0.25">
      <c r="A166" s="526" t="s">
        <v>964</v>
      </c>
      <c r="B166" s="524" t="s">
        <v>965</v>
      </c>
      <c r="C166" s="524">
        <v>2700</v>
      </c>
      <c r="D166" s="524">
        <v>6200</v>
      </c>
      <c r="E166" s="525">
        <f>SUMIFS('Accounting data'!$G$2:$G$37000,'Accounting data'!$H$2:$H$37000,"9999*",'Accounting data'!$I$2:$I$37000,"7*",'Accounting data'!$J$2:$J$37000,"27*",'Accounting data'!$K$2:$K$37000,"62*")+SUMIFS('Accounting data'!$G$2:$G$37000,'Accounting data'!$H$2:$H$37000,"9999*",'Accounting data'!$I$2:$I$37000,"8*",'Accounting data'!$J$2:$J$37000,"27*",'Accounting data'!$K$2:$K$37000,"62*")+SUMIFS('Accounting data'!$G$2:$G$37000,'Accounting data'!$H$2:$H$37000,"9999*",'Accounting data'!$I$2:$I$37000,"9*",'Accounting data'!$J$2:$J$37000,"27*",'Accounting data'!$K$2:$K$37000,"62*")</f>
        <v>0</v>
      </c>
    </row>
    <row r="167" spans="1:5" x14ac:dyDescent="0.25">
      <c r="A167" s="524"/>
      <c r="B167" s="524"/>
      <c r="C167" s="524"/>
      <c r="D167" s="524"/>
      <c r="E167" s="525"/>
    </row>
    <row r="168" spans="1:5" x14ac:dyDescent="0.25">
      <c r="A168" s="524"/>
      <c r="B168" s="524"/>
      <c r="C168" s="524"/>
      <c r="D168" s="524"/>
      <c r="E168" s="525"/>
    </row>
    <row r="169" spans="1:5" ht="14.4" x14ac:dyDescent="0.3">
      <c r="A169" s="527" t="s">
        <v>989</v>
      </c>
      <c r="B169" s="527"/>
      <c r="C169" s="527"/>
      <c r="D169" s="527"/>
      <c r="E169" s="528">
        <f>(E163-E164-E165)+(E166+E167+E168)</f>
        <v>0</v>
      </c>
    </row>
    <row r="170" spans="1:5" x14ac:dyDescent="0.25">
      <c r="A170" s="524" t="s">
        <v>963</v>
      </c>
      <c r="B170" s="524" t="s">
        <v>963</v>
      </c>
      <c r="C170" s="524">
        <v>3100</v>
      </c>
      <c r="D170" s="524">
        <v>6200</v>
      </c>
      <c r="E170" s="525">
        <f>SUMIFS('Accounting data'!$G$2:$G$37000,'Accounting data'!$J$2:$J$37000,"31*",'Accounting data'!$K$2:$K$37000,"62*")</f>
        <v>0</v>
      </c>
    </row>
    <row r="171" spans="1:5" x14ac:dyDescent="0.25">
      <c r="A171" s="524" t="s">
        <v>964</v>
      </c>
      <c r="B171" s="524" t="s">
        <v>963</v>
      </c>
      <c r="C171" s="524">
        <v>3100</v>
      </c>
      <c r="D171" s="524">
        <v>6200</v>
      </c>
      <c r="E171" s="525">
        <f>SUMIFS('Accounting data'!$G$2:$G$37000,'Accounting data'!$H$2:$H$37000,"9999*",'Accounting data'!$J$2:$J$37000,"31*",'Accounting data'!$K$2:$K$37000,"62*")</f>
        <v>0</v>
      </c>
    </row>
    <row r="172" spans="1:5" x14ac:dyDescent="0.25">
      <c r="A172" s="524" t="s">
        <v>963</v>
      </c>
      <c r="B172" s="524" t="s">
        <v>965</v>
      </c>
      <c r="C172" s="524">
        <v>3100</v>
      </c>
      <c r="D172" s="524">
        <v>6200</v>
      </c>
      <c r="E172" s="525">
        <f>SUMIFS('Accounting data'!$G$2:$G$37000,'Accounting data'!$I$2:$I$37000,"7*",'Accounting data'!$J$2:$J$37000,"31*",'Accounting data'!$K$2:$K$37000,"62*")+SUMIFS('Accounting data'!$G$2:$G$37000,'Accounting data'!$I$2:$I$37000,"8*",'Accounting data'!$J$2:$J$37000,"31*",'Accounting data'!$K$2:$K$37000,"62*")+SUMIFS('Accounting data'!$G$2:$G$37000,'Accounting data'!$I$2:$I$37000,"9*",'Accounting data'!$J$2:$J$37000,"31*",'Accounting data'!$K$2:$K$37000,"62*")</f>
        <v>0</v>
      </c>
    </row>
    <row r="173" spans="1:5" x14ac:dyDescent="0.25">
      <c r="A173" s="526" t="s">
        <v>964</v>
      </c>
      <c r="B173" s="524" t="s">
        <v>965</v>
      </c>
      <c r="C173" s="524">
        <v>3100</v>
      </c>
      <c r="D173" s="524">
        <v>6200</v>
      </c>
      <c r="E173" s="525">
        <f>SUMIFS('Accounting data'!$G$2:$G$37000,'Accounting data'!$H$2:$H$37000,"9999*",'Accounting data'!$I$2:$I$37000,"7*",'Accounting data'!$J$2:$J$37000,"31*",'Accounting data'!$K$2:$K$37000,"62*")+SUMIFS('Accounting data'!$G$2:$G$37000,'Accounting data'!$H$2:$H$37000,"9999*",'Accounting data'!$I$2:$I$37000,"8*",'Accounting data'!$J$2:$J$37000,"31*",'Accounting data'!$K$2:$K$37000,"62*")+SUMIFS('Accounting data'!$G$2:$G$37000,'Accounting data'!$H$2:$H$37000,"9999*",'Accounting data'!$I$2:$I$37000,"9*",'Accounting data'!$J$2:$J$37000,"31*",'Accounting data'!$K$2:$K$37000,"62*")</f>
        <v>0</v>
      </c>
    </row>
    <row r="174" spans="1:5" x14ac:dyDescent="0.25">
      <c r="A174" s="524"/>
      <c r="B174" s="524"/>
      <c r="C174" s="524"/>
      <c r="D174" s="524"/>
      <c r="E174" s="525"/>
    </row>
    <row r="175" spans="1:5" x14ac:dyDescent="0.25">
      <c r="A175" s="524"/>
      <c r="B175" s="524"/>
      <c r="C175" s="524"/>
      <c r="D175" s="524"/>
      <c r="E175" s="525"/>
    </row>
    <row r="176" spans="1:5" ht="14.4" x14ac:dyDescent="0.3">
      <c r="A176" s="527" t="s">
        <v>990</v>
      </c>
      <c r="B176" s="527"/>
      <c r="C176" s="527"/>
      <c r="D176" s="527"/>
      <c r="E176" s="528">
        <f>(E170-E171-E172)+(E173+E174+E175)</f>
        <v>0</v>
      </c>
    </row>
    <row r="184" spans="1:5" x14ac:dyDescent="0.25">
      <c r="A184" s="524" t="s">
        <v>963</v>
      </c>
      <c r="B184" s="524" t="s">
        <v>963</v>
      </c>
      <c r="C184" s="524">
        <v>3400</v>
      </c>
      <c r="D184" s="524">
        <v>6200</v>
      </c>
      <c r="E184" s="525">
        <f>SUMIFS('Accounting data'!$G$2:$G$37000,'Accounting data'!$J$2:$J$37000,"34*",'Accounting data'!$K$2:$K$37000,"62*")</f>
        <v>0</v>
      </c>
    </row>
    <row r="185" spans="1:5" x14ac:dyDescent="0.25">
      <c r="A185" s="524" t="s">
        <v>964</v>
      </c>
      <c r="B185" s="524" t="s">
        <v>963</v>
      </c>
      <c r="C185" s="524">
        <v>3400</v>
      </c>
      <c r="D185" s="524">
        <v>6200</v>
      </c>
      <c r="E185" s="525">
        <f>SUMIFS('Accounting data'!$G$2:$G$37000,'Accounting data'!$H$2:$H$37000,"9999*",'Accounting data'!$J$2:$J$37000,"34*",'Accounting data'!$K$2:$K$37000,"62*")</f>
        <v>0</v>
      </c>
    </row>
    <row r="186" spans="1:5" x14ac:dyDescent="0.25">
      <c r="A186" s="524" t="s">
        <v>963</v>
      </c>
      <c r="B186" s="524" t="s">
        <v>965</v>
      </c>
      <c r="C186" s="524">
        <v>3400</v>
      </c>
      <c r="D186" s="524">
        <v>6200</v>
      </c>
      <c r="E186" s="525">
        <f>SUMIFS('Accounting data'!$G$2:$G$37000,'Accounting data'!$I$2:$I$37000,"7*",'Accounting data'!$J$2:$J$37000,"34*",'Accounting data'!$K$2:$K$37000,"62*")+SUMIFS('Accounting data'!$G$2:$G$37000,'Accounting data'!$I$2:$I$37000,"8*",'Accounting data'!$J$2:$J$37000,"34*",'Accounting data'!$K$2:$K$37000,"62*")+SUMIFS('Accounting data'!$G$2:$G$37000,'Accounting data'!$I$2:$I$37000,"9*",'Accounting data'!$J$2:$J$37000,"34*",'Accounting data'!$K$2:$K$37000,"62*")</f>
        <v>0</v>
      </c>
    </row>
    <row r="187" spans="1:5" x14ac:dyDescent="0.25">
      <c r="A187" s="526" t="s">
        <v>964</v>
      </c>
      <c r="B187" s="524" t="s">
        <v>965</v>
      </c>
      <c r="C187" s="524">
        <v>3400</v>
      </c>
      <c r="D187" s="524">
        <v>6200</v>
      </c>
      <c r="E187" s="525">
        <f>SUMIFS('Accounting data'!$G$2:$G$37000,'Accounting data'!$H$2:$H$37000,"9999*",'Accounting data'!$I$2:$I$37000,"7*",'Accounting data'!$J$2:$J$37000,"34*",'Accounting data'!$K$2:$K$37000,"62*")+SUMIFS('Accounting data'!$G$2:$G$37000,'Accounting data'!$H$2:$H$37000,"9999*",'Accounting data'!$I$2:$I$37000,"8*",'Accounting data'!$J$2:$J$37000,"34*",'Accounting data'!$K$2:$K$37000,"62*")+SUMIFS('Accounting data'!$G$2:$G$37000,'Accounting data'!$H$2:$H$37000,"9999*",'Accounting data'!$I$2:$I$37000,"9*",'Accounting data'!$J$2:$J$37000,"34*",'Accounting data'!$K$2:$K$37000,"62*")</f>
        <v>0</v>
      </c>
    </row>
    <row r="188" spans="1:5" x14ac:dyDescent="0.25">
      <c r="A188" s="524"/>
      <c r="B188" s="524"/>
      <c r="C188" s="524"/>
      <c r="D188" s="524"/>
      <c r="E188" s="525"/>
    </row>
    <row r="189" spans="1:5" x14ac:dyDescent="0.25">
      <c r="A189" s="524"/>
      <c r="B189" s="524"/>
      <c r="C189" s="524"/>
      <c r="D189" s="524"/>
      <c r="E189" s="525"/>
    </row>
    <row r="190" spans="1:5" ht="14.4" x14ac:dyDescent="0.3">
      <c r="A190" s="527" t="s">
        <v>991</v>
      </c>
      <c r="B190" s="527"/>
      <c r="C190" s="527"/>
      <c r="D190" s="527"/>
      <c r="E190" s="528">
        <f>(E184-E185-E186)+(E187+E188+E189)</f>
        <v>0</v>
      </c>
    </row>
    <row r="191" spans="1:5" x14ac:dyDescent="0.25">
      <c r="A191" s="524" t="s">
        <v>963</v>
      </c>
      <c r="B191" s="524" t="s">
        <v>963</v>
      </c>
      <c r="C191" s="524">
        <v>4000</v>
      </c>
      <c r="D191" s="524">
        <v>6200</v>
      </c>
      <c r="E191" s="525">
        <f>SUMIFS('Accounting data'!$G$2:$G$37000,'Accounting data'!$J$2:$J$37000,"4*",'Accounting data'!$K$2:$K$37000,"62*")</f>
        <v>0</v>
      </c>
    </row>
    <row r="192" spans="1:5" x14ac:dyDescent="0.25">
      <c r="A192" s="524" t="s">
        <v>964</v>
      </c>
      <c r="B192" s="524" t="s">
        <v>963</v>
      </c>
      <c r="C192" s="524">
        <v>4000</v>
      </c>
      <c r="D192" s="524">
        <v>6200</v>
      </c>
      <c r="E192" s="525">
        <f>SUMIFS('Accounting data'!$G$2:$G$37000,'Accounting data'!$H$2:$H$37000,"9999*",'Accounting data'!$J$2:$J$37000,"4*",'Accounting data'!$K$2:$K$37000,"62*")</f>
        <v>0</v>
      </c>
    </row>
    <row r="193" spans="1:5" x14ac:dyDescent="0.25">
      <c r="A193" s="524" t="s">
        <v>963</v>
      </c>
      <c r="B193" s="524" t="s">
        <v>965</v>
      </c>
      <c r="C193" s="524">
        <v>4000</v>
      </c>
      <c r="D193" s="524">
        <v>6200</v>
      </c>
      <c r="E193" s="525">
        <f>SUMIFS('Accounting data'!$G$2:$G$37000,'Accounting data'!$I$2:$I$37000,"7*",'Accounting data'!$J$2:$J$37000,"4*",'Accounting data'!$K$2:$K$37000,"62*")+SUMIFS('Accounting data'!$G$2:$G$37000,'Accounting data'!$I$2:$I$37000,"8*",'Accounting data'!$J$2:$J$37000,"4*",'Accounting data'!$K$2:$K$37000,"62*")+SUMIFS('Accounting data'!$G$2:$G$37000,'Accounting data'!$I$2:$I$37000,"9*",'Accounting data'!$J$2:$J$37000,"4*",'Accounting data'!$K$2:$K$37000,"62*")</f>
        <v>0</v>
      </c>
    </row>
    <row r="194" spans="1:5" x14ac:dyDescent="0.25">
      <c r="A194" s="526" t="s">
        <v>964</v>
      </c>
      <c r="B194" s="524" t="s">
        <v>965</v>
      </c>
      <c r="C194" s="524">
        <v>4000</v>
      </c>
      <c r="D194" s="524">
        <v>6200</v>
      </c>
      <c r="E194" s="525">
        <f>SUMIFS('Accounting data'!$G$2:$G$37000,'Accounting data'!$H$2:$H$37000,"9999*",'Accounting data'!$I$2:$I$37000,"7*",'Accounting data'!$J$2:$J$37000,"4*",'Accounting data'!$K$2:$K$37000,"62*")+SUMIFS('Accounting data'!$G$2:$G$37000,'Accounting data'!$H$2:$H$37000,"9999*",'Accounting data'!$I$2:$I$37000,"8*",'Accounting data'!$J$2:$J$37000,"4*",'Accounting data'!$K$2:$K$37000,"62*")+SUMIFS('Accounting data'!$G$2:$G$37000,'Accounting data'!$H$2:$H$37000,"9999*",'Accounting data'!$I$2:$I$37000,"9*",'Accounting data'!$J$2:$J$37000,"4*",'Accounting data'!$K$2:$K$37000,"62*")</f>
        <v>0</v>
      </c>
    </row>
    <row r="195" spans="1:5" x14ac:dyDescent="0.25">
      <c r="A195" s="524"/>
      <c r="B195" s="524"/>
      <c r="C195" s="524"/>
      <c r="D195" s="524"/>
      <c r="E195" s="525"/>
    </row>
    <row r="196" spans="1:5" x14ac:dyDescent="0.25">
      <c r="A196" s="524"/>
      <c r="B196" s="524"/>
      <c r="C196" s="524"/>
      <c r="D196" s="524"/>
      <c r="E196" s="525"/>
    </row>
    <row r="197" spans="1:5" ht="14.4" x14ac:dyDescent="0.3">
      <c r="A197" s="527" t="s">
        <v>992</v>
      </c>
      <c r="B197" s="527"/>
      <c r="C197" s="527"/>
      <c r="D197" s="527"/>
      <c r="E197" s="528">
        <f>(E191-E192-E193)+(E194+E195+E196)</f>
        <v>0</v>
      </c>
    </row>
    <row r="198" spans="1:5" ht="14.4" x14ac:dyDescent="0.3">
      <c r="A198" s="530" t="s">
        <v>993</v>
      </c>
      <c r="B198" s="530"/>
      <c r="C198" s="530"/>
      <c r="D198" s="530"/>
      <c r="E198" s="531">
        <f>E113+E120+E127+E134+E141+E148+E155+E162+E169+E176+E183+E190</f>
        <v>86351</v>
      </c>
    </row>
    <row r="199" spans="1:5" ht="14.4" x14ac:dyDescent="0.3">
      <c r="A199" s="524" t="s">
        <v>979</v>
      </c>
      <c r="B199" s="524" t="s">
        <v>963</v>
      </c>
      <c r="C199" s="524">
        <v>1000</v>
      </c>
      <c r="D199" s="524">
        <v>6200</v>
      </c>
      <c r="E199" s="532">
        <f>SUMIFS('Accounting data'!$G$2:$G$37000,'Accounting data'!$H$2:$H$37000,"11*",'Accounting data'!$J$2:$J$37000,"1*",'Accounting data'!$K$2:$K$37000,"62*")+SUMIFS('Accounting data'!$G$2:$G$37000,'Accounting data'!$H$2:$H$37000,"12*",'Accounting data'!$J$2:$J$37000,"1*",'Accounting data'!$K$2:$K$37000,"62*")+SUMIFS('Accounting data'!$G$2:$G$37000,'Accounting data'!$H$2:$H$37000,"13*",'Accounting data'!$J$2:$J$37000,"1*",'Accounting data'!$K$2:$K$37000,"62*")</f>
        <v>0</v>
      </c>
    </row>
    <row r="200" spans="1:5" ht="14.4" x14ac:dyDescent="0.3">
      <c r="A200" s="524" t="s">
        <v>979</v>
      </c>
      <c r="B200" s="524" t="s">
        <v>963</v>
      </c>
      <c r="C200" s="524">
        <v>2000</v>
      </c>
      <c r="D200" s="524">
        <v>6200</v>
      </c>
      <c r="E200" s="532">
        <f>SUMIFS('Accounting data'!$G$2:$G$37000,'Accounting data'!$H$2:$H$37000,"11*",'Accounting data'!$J$2:$J$37000,"2*",'Accounting data'!$K$2:$K$37000,"62*")+SUMIFS('Accounting data'!$G$2:$G$37000,'Accounting data'!$H$2:$H$37000,"12*",'Accounting data'!$J$2:$J$37000,"2*",'Accounting data'!$K$2:$K$37000,"62*")+SUMIFS('Accounting data'!$G$2:$G$37000,'Accounting data'!$H$2:$H$37000,"13*",'Accounting data'!$J$2:$J$37000,"2*",'Accounting data'!$K$2:$K$37000,"62*")</f>
        <v>0</v>
      </c>
    </row>
    <row r="201" spans="1:5" ht="14.4" x14ac:dyDescent="0.3">
      <c r="A201" s="524" t="s">
        <v>979</v>
      </c>
      <c r="B201" s="524" t="s">
        <v>963</v>
      </c>
      <c r="C201" s="524">
        <v>3000</v>
      </c>
      <c r="D201" s="524">
        <v>6200</v>
      </c>
      <c r="E201" s="532">
        <f>SUMIFS('Accounting data'!$G$2:$G$37000,'Accounting data'!$H$2:$H$37000,"11*",'Accounting data'!$J$2:$J$37000,"3*",'Accounting data'!$K$2:$K$37000,"62*")+SUMIFS('Accounting data'!$G$2:$G$37000,'Accounting data'!$H$2:$H$37000,"12*",'Accounting data'!$J$2:$J$37000,"3*",'Accounting data'!$K$2:$K$37000,"62*")+SUMIFS('Accounting data'!$G$2:$G$37000,'Accounting data'!$H$2:$H$37000,"13*",'Accounting data'!$J$2:$J$37000,"3*",'Accounting data'!$K$2:$K$37000,"62*")</f>
        <v>0</v>
      </c>
    </row>
    <row r="202" spans="1:5" ht="14.4" x14ac:dyDescent="0.3">
      <c r="A202" s="524" t="s">
        <v>979</v>
      </c>
      <c r="B202" s="526">
        <v>700</v>
      </c>
      <c r="C202" s="524">
        <v>1000</v>
      </c>
      <c r="D202" s="524">
        <v>6200</v>
      </c>
      <c r="E202" s="532">
        <f>SUMIFS('Accounting data'!$G$2:$G$37000,'Accounting data'!$H$2:$H$37000,"11*",'Accounting data'!$I$2:$I$37000,"7*",'Accounting data'!$J$2:$J$37000,"1*",'Accounting data'!$K$2:$K$37000,"62*")+SUMIFS('Accounting data'!$G$2:$G$37000,'Accounting data'!$H$2:$H$37000,"12*",'Accounting data'!$I$2:$I$37000,"7*",'Accounting data'!$J$2:$J$37000,"1*",'Accounting data'!$K$2:$K$37000,"62*")+SUMIFS('Accounting data'!$G$2:$G$37000,'Accounting data'!$H$2:$H$37000,"13*",'Accounting data'!$I$2:$I$37000,"7*",'Accounting data'!$J$2:$J$37000,"1*",'Accounting data'!$K$2:$K$37000,"62*")</f>
        <v>0</v>
      </c>
    </row>
    <row r="203" spans="1:5" ht="14.4" x14ac:dyDescent="0.3">
      <c r="A203" s="524" t="s">
        <v>979</v>
      </c>
      <c r="B203" s="526">
        <v>800</v>
      </c>
      <c r="C203" s="524">
        <v>1000</v>
      </c>
      <c r="D203" s="524">
        <v>6200</v>
      </c>
      <c r="E203" s="532">
        <f>SUMIFS('Accounting data'!$G$2:$G$37000,'Accounting data'!$H$2:$H$37000,"11*",'Accounting data'!$I$2:$I$37000,"8*",'Accounting data'!$J$2:$J$37000,"1*",'Accounting data'!$K$2:$K$37000,"62*")+SUMIFS('Accounting data'!$G$2:$G$37000,'Accounting data'!$H$2:$H$37000,"12*",'Accounting data'!$I$2:$I$37000,"8*",'Accounting data'!$J$2:$J$37000,"1*",'Accounting data'!$K$2:$K$37000,"62*")+SUMIFS('Accounting data'!$G$2:$G$37000,'Accounting data'!$H$2:$H$37000,"13*",'Accounting data'!$I$2:$I$37000,"8*",'Accounting data'!$J$2:$J$37000,"1*",'Accounting data'!$K$2:$K$37000,"62*")</f>
        <v>0</v>
      </c>
    </row>
    <row r="204" spans="1:5" ht="14.4" x14ac:dyDescent="0.3">
      <c r="A204" s="524" t="s">
        <v>979</v>
      </c>
      <c r="B204" s="526">
        <v>900</v>
      </c>
      <c r="C204" s="524">
        <v>1000</v>
      </c>
      <c r="D204" s="524">
        <v>6200</v>
      </c>
      <c r="E204" s="532">
        <f>SUMIFS('Accounting data'!$G$2:$G$37000,'Accounting data'!$H$2:$H$37000,"11*",'Accounting data'!$I$2:$I$37000,"9*",'Accounting data'!$J$2:$J$37000,"1*",'Accounting data'!$K$2:$K$37000,"62*")+SUMIFS('Accounting data'!$G$2:$G$37000,'Accounting data'!$H$2:$H$37000,"12*",'Accounting data'!$I$2:$I$37000,"9*",'Accounting data'!$J$2:$J$37000,"1*",'Accounting data'!$K$2:$K$37000,"62*")+SUMIFS('Accounting data'!$G$2:$G$37000,'Accounting data'!$H$2:$H$37000,"13*",'Accounting data'!$I$2:$I$37000,"9*",'Accounting data'!$J$2:$J$37000,"1*",'Accounting data'!$K$2:$K$37000,"62*")</f>
        <v>0</v>
      </c>
    </row>
    <row r="205" spans="1:5" ht="14.4" x14ac:dyDescent="0.3">
      <c r="A205" s="524" t="s">
        <v>979</v>
      </c>
      <c r="B205" s="526">
        <v>700</v>
      </c>
      <c r="C205" s="524">
        <v>2000</v>
      </c>
      <c r="D205" s="524">
        <v>6200</v>
      </c>
      <c r="E205" s="532">
        <f>SUMIFS('Accounting data'!$G$2:$G$37000,'Accounting data'!$H$2:$H$37000,"11*",'Accounting data'!$I$2:$I$37000,"7*",'Accounting data'!$J$2:$J$37000,"2*",'Accounting data'!$K$2:$K$37000,"62*")+SUMIFS('Accounting data'!$G$2:$G$37000,'Accounting data'!$H$2:$H$37000,"12*",'Accounting data'!$I$2:$I$37000,"7*",'Accounting data'!$J$2:$J$37000,"2*",'Accounting data'!$K$2:$K$37000,"62*")+SUMIFS('Accounting data'!$G$2:$G$37000,'Accounting data'!$H$2:$H$37000,"13*",'Accounting data'!$I$2:$I$37000,"7*",'Accounting data'!$J$2:$J$37000,"2*",'Accounting data'!$K$2:$K$37000,"62*")</f>
        <v>0</v>
      </c>
    </row>
    <row r="206" spans="1:5" ht="14.4" x14ac:dyDescent="0.3">
      <c r="A206" s="524" t="s">
        <v>979</v>
      </c>
      <c r="B206" s="526">
        <v>800</v>
      </c>
      <c r="C206" s="524">
        <v>2000</v>
      </c>
      <c r="D206" s="524">
        <v>6200</v>
      </c>
      <c r="E206" s="532">
        <f>SUMIFS('Accounting data'!$G$2:$G$37000,'Accounting data'!$H$2:$H$37000,"11*",'Accounting data'!$I$2:$I$37000,"8*",'Accounting data'!$J$2:$J$37000,"2*",'Accounting data'!$K$2:$K$37000,"62*")+SUMIFS('Accounting data'!$G$2:$G$37000,'Accounting data'!$H$2:$H$37000,"12*",'Accounting data'!$I$2:$I$37000,"8*",'Accounting data'!$J$2:$J$37000,"2*",'Accounting data'!$K$2:$K$37000,"62*")+SUMIFS('Accounting data'!$G$2:$G$37000,'Accounting data'!$H$2:$H$37000,"13*",'Accounting data'!$I$2:$I$37000,"8*",'Accounting data'!$J$2:$J$37000,"2*",'Accounting data'!$K$2:$K$37000,"62*")</f>
        <v>0</v>
      </c>
    </row>
    <row r="207" spans="1:5" ht="14.4" x14ac:dyDescent="0.3">
      <c r="A207" s="524" t="s">
        <v>979</v>
      </c>
      <c r="B207" s="526">
        <v>900</v>
      </c>
      <c r="C207" s="524">
        <v>2000</v>
      </c>
      <c r="D207" s="524">
        <v>6200</v>
      </c>
      <c r="E207" s="532">
        <f>SUMIFS('Accounting data'!$G$2:$G$37000,'Accounting data'!$H$2:$H$37000,"11*",'Accounting data'!$I$2:$I$37000,"9*",'Accounting data'!$J$2:$J$37000,"2*",'Accounting data'!$K$2:$K$37000,"62*")+SUMIFS('Accounting data'!$G$2:$G$37000,'Accounting data'!$H$2:$H$37000,"12*",'Accounting data'!$I$2:$I$37000,"9*",'Accounting data'!$J$2:$J$37000,"2*",'Accounting data'!$K$2:$K$37000,"62*")+SUMIFS('Accounting data'!$G$2:$G$37000,'Accounting data'!$H$2:$H$37000,"13*",'Accounting data'!$I$2:$I$37000,"9*",'Accounting data'!$J$2:$J$37000,"2*",'Accounting data'!$K$2:$K$37000,"62*")</f>
        <v>0</v>
      </c>
    </row>
    <row r="208" spans="1:5" ht="14.4" x14ac:dyDescent="0.3">
      <c r="A208" s="524" t="s">
        <v>979</v>
      </c>
      <c r="B208" s="526">
        <v>700</v>
      </c>
      <c r="C208" s="524">
        <v>3000</v>
      </c>
      <c r="D208" s="524">
        <v>6200</v>
      </c>
      <c r="E208" s="532">
        <f>SUMIFS('Accounting data'!$G$2:$G$37000,'Accounting data'!$H$2:$H$37000,"11*",'Accounting data'!$I$2:$I$37000,"7*",'Accounting data'!$J$2:$J$37000,"3*",'Accounting data'!$K$2:$K$37000,"62*")+SUMIFS('Accounting data'!$G$2:$G$37000,'Accounting data'!$H$2:$H$37000,"12*",'Accounting data'!$I$2:$I$37000,"7*",'Accounting data'!$J$2:$J$37000,"3*",'Accounting data'!$K$2:$K$37000,"62*")+SUMIFS('Accounting data'!$G$2:$G$37000,'Accounting data'!$H$2:$H$37000,"13*",'Accounting data'!$I$2:$I$37000,"7*",'Accounting data'!$J$2:$J$37000,"3*",'Accounting data'!$K$2:$K$37000,"62*")</f>
        <v>0</v>
      </c>
    </row>
    <row r="209" spans="1:5" ht="14.4" x14ac:dyDescent="0.3">
      <c r="A209" s="524" t="s">
        <v>979</v>
      </c>
      <c r="B209" s="526">
        <v>800</v>
      </c>
      <c r="C209" s="524">
        <v>3000</v>
      </c>
      <c r="D209" s="524">
        <v>6200</v>
      </c>
      <c r="E209" s="532">
        <f>SUMIFS('Accounting data'!$G$2:$G$37000,'Accounting data'!$H$2:$H$37000,"11*",'Accounting data'!$I$2:$I$37000,"8*",'Accounting data'!$J$2:$J$37000,"3*",'Accounting data'!$K$2:$K$37000,"62*")+SUMIFS('Accounting data'!$G$2:$G$37000,'Accounting data'!$H$2:$H$37000,"12*",'Accounting data'!$I$2:$I$37000,"8*",'Accounting data'!$J$2:$J$37000,"3*",'Accounting data'!$K$2:$K$37000,"62*")+SUMIFS('Accounting data'!$G$2:$G$37000,'Accounting data'!$H$2:$H$37000,"13*",'Accounting data'!$I$2:$I$37000,"8*",'Accounting data'!$J$2:$J$37000,"3*",'Accounting data'!$K$2:$K$37000,"62*")</f>
        <v>0</v>
      </c>
    </row>
    <row r="210" spans="1:5" ht="14.4" x14ac:dyDescent="0.3">
      <c r="A210" s="524" t="s">
        <v>979</v>
      </c>
      <c r="B210" s="526">
        <v>900</v>
      </c>
      <c r="C210" s="524">
        <v>3000</v>
      </c>
      <c r="D210" s="524">
        <v>6200</v>
      </c>
      <c r="E210" s="532">
        <f>SUMIFS('Accounting data'!$G$2:$G$37000,'Accounting data'!$H$2:$H$37000,"11*",'Accounting data'!$I$2:$I$37000,"9*",'Accounting data'!$J$2:$J$37000,"3*",'Accounting data'!$K$2:$K$37000,"62*")+SUMIFS('Accounting data'!$G$2:$G$37000,'Accounting data'!$H$2:$H$37000,"12*",'Accounting data'!$I$2:$I$37000,"9*",'Accounting data'!$J$2:$J$37000,"3*",'Accounting data'!$K$2:$K$37000,"62*")+SUMIFS('Accounting data'!$G$2:$G$37000,'Accounting data'!$H$2:$H$37000,"13*",'Accounting data'!$I$2:$I$37000,"9*",'Accounting data'!$J$2:$J$37000,"3*",'Accounting data'!$K$2:$K$37000,"62*")</f>
        <v>0</v>
      </c>
    </row>
    <row r="211" spans="1:5" ht="14.4" x14ac:dyDescent="0.3">
      <c r="A211" s="527" t="s">
        <v>994</v>
      </c>
      <c r="B211" s="527"/>
      <c r="C211" s="527"/>
      <c r="D211" s="527"/>
      <c r="E211" s="528">
        <f>(E199+E200+E201)-(E202+E203+E204+E205+E206+E207+E208+E209+E210)</f>
        <v>0</v>
      </c>
    </row>
    <row r="212" spans="1:5" ht="14.4" x14ac:dyDescent="0.3">
      <c r="A212" s="524" t="s">
        <v>963</v>
      </c>
      <c r="B212" s="524" t="s">
        <v>963</v>
      </c>
      <c r="C212" s="524">
        <v>1000</v>
      </c>
      <c r="D212" s="533" t="s">
        <v>995</v>
      </c>
      <c r="E212" s="532">
        <f>SUMIFS('Accounting data'!$G$2:$G$37000,'Accounting data'!$J$2:$J$37000,"1*",'Accounting data'!$K$2:$K$37000,"63*")+SUMIFS('Accounting data'!$G$2:$G$37000,'Accounting data'!$J$2:$J$37000,"1*",'Accounting data'!$K$2:$K$37000,"64*")+SUMIFS('Accounting data'!$G$2:$G$37000,'Accounting data'!$J$2:$J$37000,"1*",'Accounting data'!$K$2:$K$37000,"65*")</f>
        <v>558856</v>
      </c>
    </row>
    <row r="213" spans="1:5" ht="14.4" x14ac:dyDescent="0.3">
      <c r="A213" s="524" t="s">
        <v>964</v>
      </c>
      <c r="B213" s="524" t="s">
        <v>963</v>
      </c>
      <c r="C213" s="524">
        <v>1000</v>
      </c>
      <c r="D213" s="524">
        <v>6300</v>
      </c>
      <c r="E213" s="532">
        <f>SUMIFS('Accounting data'!$G$2:$G$37000,'Accounting data'!$H$2:$H$37000,"9999*",'Accounting data'!$J$2:$J$37000,"1*",'Accounting data'!$K$2:$K$37000,"63*")</f>
        <v>0</v>
      </c>
    </row>
    <row r="214" spans="1:5" ht="14.4" x14ac:dyDescent="0.3">
      <c r="A214" s="524" t="s">
        <v>964</v>
      </c>
      <c r="B214" s="524" t="s">
        <v>963</v>
      </c>
      <c r="C214" s="524">
        <v>1000</v>
      </c>
      <c r="D214" s="524">
        <v>6400</v>
      </c>
      <c r="E214" s="532">
        <f>SUMIFS('Accounting data'!$G$2:$G$37000,'Accounting data'!$H$2:$H$37000,"9999*",'Accounting data'!$J$2:$J$37000,"1*",'Accounting data'!$K$2:$K$37000,"64*")</f>
        <v>0</v>
      </c>
    </row>
    <row r="215" spans="1:5" ht="14.4" x14ac:dyDescent="0.3">
      <c r="A215" s="524" t="s">
        <v>964</v>
      </c>
      <c r="B215" s="524" t="s">
        <v>963</v>
      </c>
      <c r="C215" s="524">
        <v>1000</v>
      </c>
      <c r="D215" s="524">
        <v>6500</v>
      </c>
      <c r="E215" s="532">
        <f>SUMIFS('Accounting data'!$G$2:$G$37000,'Accounting data'!$H$2:$H$37000,"9999*",'Accounting data'!$J$2:$J$37000,"1*",'Accounting data'!$K$2:$K$37000,"65*")</f>
        <v>0</v>
      </c>
    </row>
    <row r="216" spans="1:5" ht="14.4" x14ac:dyDescent="0.3">
      <c r="A216" s="524" t="s">
        <v>963</v>
      </c>
      <c r="B216" s="524" t="s">
        <v>965</v>
      </c>
      <c r="C216" s="524">
        <v>1000</v>
      </c>
      <c r="D216" s="533" t="s">
        <v>995</v>
      </c>
      <c r="E216" s="532">
        <f>SUMIFS('Accounting data'!$G$2:$G$37000,'Accounting data'!$I$2:$I$37000,"7*",'Accounting data'!$J$2:$J$37000,"1*",'Accounting data'!$K$2:$K$37000,"63*")+SUMIFS('Accounting data'!$G$2:$G$37000,'Accounting data'!$I$2:$I$37000,"8*",'Accounting data'!$J$2:$J$37000,"1*",'Accounting data'!$K$2:$K$37000,"63*")+SUMIFS('Accounting data'!$G$2:$G$37000,'Accounting data'!$I$2:$I$37000,"9*",'Accounting data'!$J$2:$J$37000,"1*",'Accounting data'!$K$2:$K$37000,"63*")+SUMIFS('Accounting data'!$G$2:$G$37000,'Accounting data'!$I$2:$I$37000,"7*",'Accounting data'!$J$2:$J$37000,"1*",'Accounting data'!$K$2:$K$37000,"64*")+SUMIFS('Accounting data'!$G$2:$G$37000,'Accounting data'!$I$2:$I$37000,"8*",'Accounting data'!$J$2:$J$37000,"1*",'Accounting data'!$K$2:$K$37000,"64*")+SUMIFS('Accounting data'!$G$2:$G$37000,'Accounting data'!$I$2:$I$37000,"9*",'Accounting data'!$J$2:$J$37000,"1*",'Accounting data'!$K$2:$K$37000,"64*")+SUMIFS('Accounting data'!$G$2:$G$37000,'Accounting data'!$I$2:$I$37000,"7*",'Accounting data'!$J$2:$J$37000,"1*",'Accounting data'!$K$2:$K$37000,"65*")+SUMIFS('Accounting data'!$G$2:$G$37000,'Accounting data'!$I$2:$I$37000,"8*",'Accounting data'!$J$2:$J$37000,"1*",'Accounting data'!$K$2:$K$37000,"65*")+SUMIFS('Accounting data'!$G$2:$G$37000,'Accounting data'!$I$2:$I$37000,"9*",'Accounting data'!$J$2:$J$37000,"1*",'Accounting data'!$K$2:$K$37000,"65*")</f>
        <v>0</v>
      </c>
    </row>
    <row r="217" spans="1:5" ht="14.4" x14ac:dyDescent="0.3">
      <c r="A217" s="526" t="s">
        <v>964</v>
      </c>
      <c r="B217" s="524" t="s">
        <v>965</v>
      </c>
      <c r="C217" s="524">
        <v>1000</v>
      </c>
      <c r="D217" s="524">
        <v>6300</v>
      </c>
      <c r="E217" s="532">
        <f>SUMIFS('Accounting data'!$G$2:$G$37000,'Accounting data'!$H$2:$H$37000,"9999*",'Accounting data'!$I$2:$I$37000,"7*",'Accounting data'!$J$2:$J$37000,"1*",'Accounting data'!$K$2:$K$37000,"63*")+SUMIFS('Accounting data'!$G$2:$G$37000,'Accounting data'!$H$2:$H$37000,"9999*",'Accounting data'!$I$2:$I$37000,"8*",'Accounting data'!$J$2:$J$37000,"1*",'Accounting data'!$K$2:$K$37000,"63*")+SUMIFS('Accounting data'!$G$2:$G$37000,'Accounting data'!$H$2:$H$37000,"9999*",'Accounting data'!$I$2:$I$37000,"9*",'Accounting data'!$J$2:$J$37000,"1*",'Accounting data'!$K$2:$K$37000,"63*")</f>
        <v>0</v>
      </c>
    </row>
    <row r="218" spans="1:5" ht="14.4" x14ac:dyDescent="0.3">
      <c r="A218" s="526" t="s">
        <v>964</v>
      </c>
      <c r="B218" s="524" t="s">
        <v>965</v>
      </c>
      <c r="C218" s="524">
        <v>1000</v>
      </c>
      <c r="D218" s="524">
        <v>6400</v>
      </c>
      <c r="E218" s="532">
        <f>SUMIFS('Accounting data'!$G$2:$G$37000,'Accounting data'!$H$2:$H$37000,"9999*",'Accounting data'!$I$2:$I$37000,"7*",'Accounting data'!$J$2:$J$37000,"1*",'Accounting data'!$K$2:$K$37000,"64*")+SUMIFS('Accounting data'!$G$2:$G$37000,'Accounting data'!$H$2:$H$37000,"9999*",'Accounting data'!$I$2:$I$37000,"8*",'Accounting data'!$J$2:$J$37000,"1*",'Accounting data'!$K$2:$K$37000,"64*")+SUMIFS('Accounting data'!$G$2:$G$37000,'Accounting data'!$H$2:$H$37000,"9999*",'Accounting data'!$I$2:$I$37000,"9*",'Accounting data'!$J$2:$J$37000,"1*",'Accounting data'!$K$2:$K$37000,"64*")</f>
        <v>0</v>
      </c>
    </row>
    <row r="219" spans="1:5" ht="14.4" x14ac:dyDescent="0.3">
      <c r="A219" s="526" t="s">
        <v>964</v>
      </c>
      <c r="B219" s="524" t="s">
        <v>965</v>
      </c>
      <c r="C219" s="524">
        <v>1000</v>
      </c>
      <c r="D219" s="524">
        <v>6500</v>
      </c>
      <c r="E219" s="532">
        <f>SUMIFS('Accounting data'!$G$2:$G$37000,'Accounting data'!$H$2:$H$37000,"9999*",'Accounting data'!$I$2:$I$37000,"7*",'Accounting data'!$J$2:$J$37000,"1*",'Accounting data'!$K$2:$K$37000,"65*")+SUMIFS('Accounting data'!$G$2:$G$37000,'Accounting data'!$H$2:$H$37000,"9999*",'Accounting data'!$I$2:$I$37000,"8*",'Accounting data'!$J$2:$J$37000,"1*",'Accounting data'!$K$2:$K$37000,"65*")+SUMIFS('Accounting data'!$G$2:$G$37000,'Accounting data'!$H$2:$H$37000,"9999*",'Accounting data'!$I$2:$I$37000,"9*",'Accounting data'!$J$2:$J$37000,"1*",'Accounting data'!$K$2:$K$37000,"65*")</f>
        <v>0</v>
      </c>
    </row>
    <row r="238" spans="1:5" ht="14.4" x14ac:dyDescent="0.3">
      <c r="A238" s="527" t="s">
        <v>996</v>
      </c>
      <c r="B238" s="527"/>
      <c r="C238" s="527"/>
      <c r="D238" s="527"/>
      <c r="E238" s="528">
        <f>((E212-E213-E214-E215-E216)+(E217+E218+E219+E220+E221+E222+E223+E224+E225))-((E226-E227-E228)+(E229+E230+E231))-((E232-E233-E234)+(E235+E236+E237))</f>
        <v>558856</v>
      </c>
    </row>
    <row r="239" spans="1:5" x14ac:dyDescent="0.25">
      <c r="A239" s="524" t="s">
        <v>963</v>
      </c>
      <c r="B239" s="524" t="s">
        <v>963</v>
      </c>
      <c r="C239" s="524">
        <v>2100</v>
      </c>
      <c r="D239" s="533" t="s">
        <v>995</v>
      </c>
      <c r="E239" s="525">
        <f>SUMIFS('Accounting data'!$G$2:$G$37000,'Accounting data'!$J$2:$J$37000,"21*",'Accounting data'!$K$2:$K$37000,"63*")+SUMIFS('Accounting data'!$G$2:$G$37000,'Accounting data'!$J$2:$J$37000,"21*",'Accounting data'!$K$2:$K$37000,"64*")+SUMIFS('Accounting data'!$G$2:$G$37000,'Accounting data'!$J$2:$J$37000,"21*",'Accounting data'!$K$2:$K$37000,"65*")</f>
        <v>174922</v>
      </c>
    </row>
    <row r="240" spans="1:5" x14ac:dyDescent="0.25">
      <c r="A240" s="524" t="s">
        <v>964</v>
      </c>
      <c r="B240" s="524" t="s">
        <v>963</v>
      </c>
      <c r="C240" s="524">
        <v>2100</v>
      </c>
      <c r="D240" s="524">
        <v>6300</v>
      </c>
      <c r="E240" s="525">
        <f>SUMIFS('Accounting data'!$G$2:$G$37000,'Accounting data'!$H$2:$H$37000,"9999*",'Accounting data'!$J$2:$J$37000,"21*",'Accounting data'!$K$2:$K$37000,"63*")</f>
        <v>0</v>
      </c>
    </row>
    <row r="241" spans="1:5" x14ac:dyDescent="0.25">
      <c r="A241" s="524" t="s">
        <v>964</v>
      </c>
      <c r="B241" s="524" t="s">
        <v>963</v>
      </c>
      <c r="C241" s="524">
        <v>2100</v>
      </c>
      <c r="D241" s="524">
        <v>6400</v>
      </c>
      <c r="E241" s="525">
        <f>SUMIFS('Accounting data'!$G$2:$G$37000,'Accounting data'!$H$2:$H$37000,"9999*",'Accounting data'!$J$2:$J$37000,"21*",'Accounting data'!$K$2:$K$37000,"64*")</f>
        <v>0</v>
      </c>
    </row>
    <row r="242" spans="1:5" x14ac:dyDescent="0.25">
      <c r="A242" s="524" t="s">
        <v>964</v>
      </c>
      <c r="B242" s="524" t="s">
        <v>963</v>
      </c>
      <c r="C242" s="524">
        <v>2100</v>
      </c>
      <c r="D242" s="524">
        <v>6500</v>
      </c>
      <c r="E242" s="525">
        <f>SUMIFS('Accounting data'!$G$2:$G$37000,'Accounting data'!$H$2:$H$37000,"9999*",'Accounting data'!$J$2:$J$37000,"21*",'Accounting data'!$K$2:$K$37000,"65*")</f>
        <v>0</v>
      </c>
    </row>
    <row r="243" spans="1:5" x14ac:dyDescent="0.25">
      <c r="A243" s="524" t="s">
        <v>963</v>
      </c>
      <c r="B243" s="524" t="s">
        <v>965</v>
      </c>
      <c r="C243" s="524">
        <v>2100</v>
      </c>
      <c r="D243" s="533" t="s">
        <v>995</v>
      </c>
      <c r="E243" s="525">
        <f>SUMIFS('Accounting data'!$G$2:$G$37000,'Accounting data'!$I$2:$I$37000,"7*",'Accounting data'!$J$2:$J$37000,"21*",'Accounting data'!$K$2:$K$37000,"63*")+SUMIFS('Accounting data'!$G$2:$G$37000,'Accounting data'!$I$2:$I$37000,"8*",'Accounting data'!$J$2:$J$37000,"21*",'Accounting data'!$K$2:$K$37000,"63*")+SUMIFS('Accounting data'!$G$2:$G$37000,'Accounting data'!$I$2:$I$37000,"9*",'Accounting data'!$J$2:$J$37000,"21*",'Accounting data'!$K$2:$K$37000,"63*")+SUMIFS('Accounting data'!$G$2:$G$37000,'Accounting data'!$I$2:$I$37000,"7*",'Accounting data'!$J$2:$J$37000,"21*",'Accounting data'!$K$2:$K$37000,"64*")+SUMIFS('Accounting data'!$G$2:$G$37000,'Accounting data'!$I$2:$I$37000,"8*",'Accounting data'!$J$2:$J$37000,"21*",'Accounting data'!$K$2:$K$37000,"64*")+SUMIFS('Accounting data'!$G$2:$G$37000,'Accounting data'!$I$2:$I$37000,"9*",'Accounting data'!$J$2:$J$37000,"21*",'Accounting data'!$K$2:$K$37000,"64*")+SUMIFS('Accounting data'!$G$2:$G$37000,'Accounting data'!$I$2:$I$37000,"7*",'Accounting data'!$J$2:$J$37000,"21*",'Accounting data'!$K$2:$K$37000,"65*")+SUMIFS('Accounting data'!$G$2:$G$37000,'Accounting data'!$I$2:$I$37000,"8*",'Accounting data'!$J$2:$J$37000,"21*",'Accounting data'!$K$2:$K$37000,"65*")+SUMIFS('Accounting data'!$G$2:$G$37000,'Accounting data'!$I$2:$I$37000,"9*",'Accounting data'!$J$2:$J$37000,"21*",'Accounting data'!$K$2:$K$37000,"65*")</f>
        <v>0</v>
      </c>
    </row>
    <row r="244" spans="1:5" x14ac:dyDescent="0.25">
      <c r="A244" s="526" t="s">
        <v>964</v>
      </c>
      <c r="B244" s="524" t="s">
        <v>965</v>
      </c>
      <c r="C244" s="524">
        <v>2100</v>
      </c>
      <c r="D244" s="524">
        <v>6300</v>
      </c>
      <c r="E244" s="525">
        <f>SUMIFS('Accounting data'!$G$2:$G$37000,'Accounting data'!$H$2:$H$37000,"9999*",'Accounting data'!$I$2:$I$37000,"7*",'Accounting data'!$J$2:$J$37000,"21*",'Accounting data'!$K$2:$K$37000,"63*")+SUMIFS('Accounting data'!$G$2:$G$37000,'Accounting data'!$H$2:$H$37000,"9999*",'Accounting data'!$I$2:$I$37000,"8*",'Accounting data'!$J$2:$J$37000,"21*",'Accounting data'!$K$2:$K$37000,"63*")+SUMIFS('Accounting data'!$G$2:$G$37000,'Accounting data'!$H$2:$H$37000,"9999*",'Accounting data'!$I$2:$I$37000,"9*",'Accounting data'!$J$2:$J$37000,"21*",'Accounting data'!$K$2:$K$37000,"63*")</f>
        <v>0</v>
      </c>
    </row>
    <row r="245" spans="1:5" x14ac:dyDescent="0.25">
      <c r="A245" s="526" t="s">
        <v>964</v>
      </c>
      <c r="B245" s="524" t="s">
        <v>965</v>
      </c>
      <c r="C245" s="524">
        <v>2100</v>
      </c>
      <c r="D245" s="524">
        <v>6400</v>
      </c>
      <c r="E245" s="525">
        <f>SUMIFS('Accounting data'!$G$2:$G$37000,'Accounting data'!$H$2:$H$37000,"9999*",'Accounting data'!$I$2:$I$37000,"7*",'Accounting data'!$J$2:$J$37000,"21*",'Accounting data'!$K$2:$K$37000,"64*")+SUMIFS('Accounting data'!$G$2:$G$37000,'Accounting data'!$H$2:$H$37000,"9999*",'Accounting data'!$I$2:$I$37000,"8*",'Accounting data'!$J$2:$J$37000,"21*",'Accounting data'!$K$2:$K$37000,"64*")+SUMIFS('Accounting data'!$G$2:$G$37000,'Accounting data'!$H$2:$H$37000,"9999*",'Accounting data'!$I$2:$I$37000,"9*",'Accounting data'!$J$2:$J$37000,"21*",'Accounting data'!$K$2:$K$37000,"64*")</f>
        <v>0</v>
      </c>
    </row>
    <row r="246" spans="1:5" x14ac:dyDescent="0.25">
      <c r="A246" s="526" t="s">
        <v>964</v>
      </c>
      <c r="B246" s="524" t="s">
        <v>965</v>
      </c>
      <c r="C246" s="524">
        <v>2100</v>
      </c>
      <c r="D246" s="524">
        <v>6500</v>
      </c>
      <c r="E246" s="525">
        <f>SUMIFS('Accounting data'!$G$2:$G$37000,'Accounting data'!$H$2:$H$37000,"9999*",'Accounting data'!$I$2:$I$37000,"7*",'Accounting data'!$J$2:$J$37000,"21*",'Accounting data'!$K$2:$K$37000,"65*")+SUMIFS('Accounting data'!$G$2:$G$37000,'Accounting data'!$H$2:$H$37000,"9999*",'Accounting data'!$I$2:$I$37000,"8*",'Accounting data'!$J$2:$J$37000,"21*",'Accounting data'!$K$2:$K$37000,"65*")+SUMIFS('Accounting data'!$G$2:$G$37000,'Accounting data'!$H$2:$H$37000,"9999*",'Accounting data'!$I$2:$I$37000,"9*",'Accounting data'!$J$2:$J$37000,"21*",'Accounting data'!$K$2:$K$37000,"65*")</f>
        <v>0</v>
      </c>
    </row>
    <row r="265" spans="1:5" x14ac:dyDescent="0.25">
      <c r="A265" s="527" t="s">
        <v>997</v>
      </c>
      <c r="B265" s="527"/>
      <c r="C265" s="527"/>
      <c r="D265" s="527"/>
      <c r="E265" s="529">
        <f>((E239-E240-E241-E242-E243)+(E244+E245+E246+E247+E248+E249+E250+E251+E252))-((E253-E254-E255)+(E256+E257+E258))-((E259-E260-E261)+(E262+E263+E264))</f>
        <v>174922</v>
      </c>
    </row>
    <row r="266" spans="1:5" x14ac:dyDescent="0.25">
      <c r="A266" s="524" t="s">
        <v>963</v>
      </c>
      <c r="B266" s="524" t="s">
        <v>963</v>
      </c>
      <c r="C266" s="524">
        <v>2200</v>
      </c>
      <c r="D266" s="533" t="s">
        <v>995</v>
      </c>
      <c r="E266" s="525">
        <f>SUMIFS('Accounting data'!$G$2:$G$37000,'Accounting data'!$J$2:$J$37000,"22*",'Accounting data'!$K$2:$K$37000,"63*")+SUMIFS('Accounting data'!$G$2:$G$37000,'Accounting data'!$J$2:$J$37000,"22*",'Accounting data'!$K$2:$K$37000,"64*")+SUMIFS('Accounting data'!$G$2:$G$37000,'Accounting data'!$J$2:$J$37000,"22*",'Accounting data'!$K$2:$K$37000,"65*")</f>
        <v>1</v>
      </c>
    </row>
    <row r="267" spans="1:5" x14ac:dyDescent="0.25">
      <c r="A267" s="524" t="s">
        <v>964</v>
      </c>
      <c r="B267" s="524" t="s">
        <v>963</v>
      </c>
      <c r="C267" s="524">
        <v>2200</v>
      </c>
      <c r="D267" s="524">
        <v>6300</v>
      </c>
      <c r="E267" s="525">
        <f>SUMIFS('Accounting data'!$G$2:$G$37000,'Accounting data'!$H$2:$H$37000,"9999*",'Accounting data'!$J$2:$J$37000,"22*",'Accounting data'!$K$2:$K$37000,"63*")</f>
        <v>0</v>
      </c>
    </row>
    <row r="268" spans="1:5" x14ac:dyDescent="0.25">
      <c r="A268" s="524" t="s">
        <v>964</v>
      </c>
      <c r="B268" s="524" t="s">
        <v>963</v>
      </c>
      <c r="C268" s="524">
        <v>2200</v>
      </c>
      <c r="D268" s="524">
        <v>6400</v>
      </c>
      <c r="E268" s="525">
        <f>SUMIFS('Accounting data'!$G$2:$G$37000,'Accounting data'!$H$2:$H$37000,"9999*",'Accounting data'!$J$2:$J$37000,"22*",'Accounting data'!$K$2:$K$37000,"64*")</f>
        <v>0</v>
      </c>
    </row>
    <row r="269" spans="1:5" x14ac:dyDescent="0.25">
      <c r="A269" s="524" t="s">
        <v>964</v>
      </c>
      <c r="B269" s="524" t="s">
        <v>963</v>
      </c>
      <c r="C269" s="524">
        <v>2200</v>
      </c>
      <c r="D269" s="524">
        <v>6500</v>
      </c>
      <c r="E269" s="525">
        <f>SUMIFS('Accounting data'!$G$2:$G$37000,'Accounting data'!$H$2:$H$37000,"9999*",'Accounting data'!$J$2:$J$37000,"22*",'Accounting data'!$K$2:$K$37000,"65*")</f>
        <v>0</v>
      </c>
    </row>
    <row r="270" spans="1:5" x14ac:dyDescent="0.25">
      <c r="A270" s="524" t="s">
        <v>963</v>
      </c>
      <c r="B270" s="524" t="s">
        <v>965</v>
      </c>
      <c r="C270" s="524">
        <v>2200</v>
      </c>
      <c r="D270" s="533" t="s">
        <v>995</v>
      </c>
      <c r="E270" s="525">
        <f>SUMIFS('Accounting data'!$G$2:$G$37000,'Accounting data'!$I$2:$I$37000,"7*",'Accounting data'!$J$2:$J$37000,"22*",'Accounting data'!$K$2:$K$37000,"63*")+SUMIFS('Accounting data'!$G$2:$G$37000,'Accounting data'!$I$2:$I$37000,"8*",'Accounting data'!$J$2:$J$37000,"22*",'Accounting data'!$K$2:$K$37000,"63*")+SUMIFS('Accounting data'!$G$2:$G$37000,'Accounting data'!$I$2:$I$37000,"9*",'Accounting data'!$J$2:$J$37000,"22*",'Accounting data'!$K$2:$K$37000,"63*")+SUMIFS('Accounting data'!$G$2:$G$37000,'Accounting data'!$I$2:$I$37000,"7*",'Accounting data'!$J$2:$J$37000,"22*",'Accounting data'!$K$2:$K$37000,"64*")+SUMIFS('Accounting data'!$G$2:$G$37000,'Accounting data'!$I$2:$I$37000,"8*",'Accounting data'!$J$2:$J$37000,"22*",'Accounting data'!$K$2:$K$37000,"64*")+SUMIFS('Accounting data'!$G$2:$G$37000,'Accounting data'!$I$2:$I$37000,"9*",'Accounting data'!$J$2:$J$37000,"22*",'Accounting data'!$K$2:$K$37000,"64*")+SUMIFS('Accounting data'!$G$2:$G$37000,'Accounting data'!$I$2:$I$37000,"7*",'Accounting data'!$J$2:$J$37000,"22*",'Accounting data'!$K$2:$K$37000,"65*")+SUMIFS('Accounting data'!$G$2:$G$37000,'Accounting data'!$I$2:$I$37000,"8*",'Accounting data'!$J$2:$J$37000,"22*",'Accounting data'!$K$2:$K$37000,"65*")+SUMIFS('Accounting data'!$G$2:$G$37000,'Accounting data'!$I$2:$I$37000,"9*",'Accounting data'!$J$2:$J$37000,"22*",'Accounting data'!$K$2:$K$37000,"65*")</f>
        <v>0</v>
      </c>
    </row>
    <row r="271" spans="1:5" x14ac:dyDescent="0.25">
      <c r="A271" s="526" t="s">
        <v>964</v>
      </c>
      <c r="B271" s="524" t="s">
        <v>965</v>
      </c>
      <c r="C271" s="524">
        <v>2200</v>
      </c>
      <c r="D271" s="524">
        <v>6300</v>
      </c>
      <c r="E271" s="525">
        <f>SUMIFS('Accounting data'!$G$2:$G$37000,'Accounting data'!$H$2:$H$37000,"9999*",'Accounting data'!$I$2:$I$37000,"7*",'Accounting data'!$J$2:$J$37000,"22*",'Accounting data'!$K$2:$K$37000,"63*")+SUMIFS('Accounting data'!$G$2:$G$37000,'Accounting data'!$H$2:$H$37000,"9999*",'Accounting data'!$I$2:$I$37000,"8*",'Accounting data'!$J$2:$J$37000,"22*",'Accounting data'!$K$2:$K$37000,"63*")+SUMIFS('Accounting data'!$G$2:$G$37000,'Accounting data'!$H$2:$H$37000,"9999*",'Accounting data'!$I$2:$I$37000,"9*",'Accounting data'!$J$2:$J$37000,"22*",'Accounting data'!$K$2:$K$37000,"63*")</f>
        <v>0</v>
      </c>
    </row>
    <row r="272" spans="1:5" x14ac:dyDescent="0.25">
      <c r="A272" s="526" t="s">
        <v>964</v>
      </c>
      <c r="B272" s="524" t="s">
        <v>965</v>
      </c>
      <c r="C272" s="524">
        <v>2200</v>
      </c>
      <c r="D272" s="524">
        <v>6400</v>
      </c>
      <c r="E272" s="525">
        <f>SUMIFS('Accounting data'!$G$2:$G$37000,'Accounting data'!$H$2:$H$37000,"9999*",'Accounting data'!$I$2:$I$37000,"7*",'Accounting data'!$J$2:$J$37000,"22*",'Accounting data'!$K$2:$K$37000,"64*")+SUMIFS('Accounting data'!$G$2:$G$37000,'Accounting data'!$H$2:$H$37000,"9999*",'Accounting data'!$I$2:$I$37000,"8*",'Accounting data'!$J$2:$J$37000,"22*",'Accounting data'!$K$2:$K$37000,"64*")+SUMIFS('Accounting data'!$G$2:$G$37000,'Accounting data'!$H$2:$H$37000,"9999*",'Accounting data'!$I$2:$I$37000,"9*",'Accounting data'!$J$2:$J$37000,"22*",'Accounting data'!$K$2:$K$37000,"64*")</f>
        <v>0</v>
      </c>
    </row>
    <row r="273" spans="1:5" x14ac:dyDescent="0.25">
      <c r="A273" s="526" t="s">
        <v>964</v>
      </c>
      <c r="B273" s="524" t="s">
        <v>965</v>
      </c>
      <c r="C273" s="524">
        <v>2200</v>
      </c>
      <c r="D273" s="524">
        <v>6500</v>
      </c>
      <c r="E273" s="525">
        <f>SUMIFS('Accounting data'!$G$2:$G$37000,'Accounting data'!$H$2:$H$37000,"9999*",'Accounting data'!$I$2:$I$37000,"7*",'Accounting data'!$J$2:$J$37000,"22*",'Accounting data'!$K$2:$K$37000,"65*")+SUMIFS('Accounting data'!$G$2:$G$37000,'Accounting data'!$H$2:$H$37000,"9999*",'Accounting data'!$I$2:$I$37000,"8*",'Accounting data'!$J$2:$J$37000,"22*",'Accounting data'!$K$2:$K$37000,"65*")+SUMIFS('Accounting data'!$G$2:$G$37000,'Accounting data'!$H$2:$H$37000,"9999*",'Accounting data'!$I$2:$I$37000,"9*",'Accounting data'!$J$2:$J$37000,"22*",'Accounting data'!$K$2:$K$37000,"65*")</f>
        <v>0</v>
      </c>
    </row>
    <row r="292" spans="1:5" x14ac:dyDescent="0.25">
      <c r="A292" s="527" t="s">
        <v>998</v>
      </c>
      <c r="B292" s="527"/>
      <c r="C292" s="527"/>
      <c r="D292" s="527"/>
      <c r="E292" s="529">
        <f>((E266-E267-E268-E269-E270)+(E271+E272+E273+E274+E275+E276+E277+E278+E279))-((E280-E281-E282)+(E283+E284+E285))-((E286-E287-E288)+(E289+E290+E291))</f>
        <v>1</v>
      </c>
    </row>
    <row r="293" spans="1:5" x14ac:dyDescent="0.25">
      <c r="A293" s="524" t="s">
        <v>963</v>
      </c>
      <c r="B293" s="524" t="s">
        <v>963</v>
      </c>
      <c r="C293" s="524">
        <v>2300</v>
      </c>
      <c r="D293" s="533" t="s">
        <v>995</v>
      </c>
      <c r="E293" s="525">
        <f>SUMIFS('Accounting data'!$G$2:$G$37000,'Accounting data'!$J$2:$J$37000,"23*",'Accounting data'!$K$2:$K$37000,"63*")+SUMIFS('Accounting data'!$G$2:$G$37000,'Accounting data'!$J$2:$J$37000,"23*",'Accounting data'!$K$2:$K$37000,"64*")+SUMIFS('Accounting data'!$G$2:$G$37000,'Accounting data'!$J$2:$J$37000,"23*",'Accounting data'!$K$2:$K$37000,"65*")</f>
        <v>0</v>
      </c>
    </row>
    <row r="294" spans="1:5" x14ac:dyDescent="0.25">
      <c r="A294" s="524" t="s">
        <v>964</v>
      </c>
      <c r="B294" s="524" t="s">
        <v>963</v>
      </c>
      <c r="C294" s="524">
        <v>2300</v>
      </c>
      <c r="D294" s="524">
        <v>6300</v>
      </c>
      <c r="E294" s="525">
        <f>SUMIFS('Accounting data'!$G$2:$G$37000,'Accounting data'!$H$2:$H$37000,"9999*",'Accounting data'!$J$2:$J$37000,"23*",'Accounting data'!$K$2:$K$37000,"63*")</f>
        <v>0</v>
      </c>
    </row>
    <row r="295" spans="1:5" x14ac:dyDescent="0.25">
      <c r="A295" s="524" t="s">
        <v>964</v>
      </c>
      <c r="B295" s="524" t="s">
        <v>963</v>
      </c>
      <c r="C295" s="524">
        <v>2300</v>
      </c>
      <c r="D295" s="524">
        <v>6400</v>
      </c>
      <c r="E295" s="525">
        <f>SUMIFS('Accounting data'!$G$2:$G$37000,'Accounting data'!$H$2:$H$37000,"9999*",'Accounting data'!$J$2:$J$37000,"23*",'Accounting data'!$K$2:$K$37000,"64*")</f>
        <v>0</v>
      </c>
    </row>
    <row r="296" spans="1:5" x14ac:dyDescent="0.25">
      <c r="A296" s="524" t="s">
        <v>964</v>
      </c>
      <c r="B296" s="524" t="s">
        <v>963</v>
      </c>
      <c r="C296" s="524">
        <v>2300</v>
      </c>
      <c r="D296" s="524">
        <v>6500</v>
      </c>
      <c r="E296" s="525">
        <f>SUMIFS('Accounting data'!$G$2:$G$37000,'Accounting data'!$H$2:$H$37000,"9999*",'Accounting data'!$J$2:$J$37000,"23*",'Accounting data'!$K$2:$K$37000,"65*")</f>
        <v>0</v>
      </c>
    </row>
    <row r="297" spans="1:5" x14ac:dyDescent="0.25">
      <c r="A297" s="524" t="s">
        <v>963</v>
      </c>
      <c r="B297" s="524" t="s">
        <v>965</v>
      </c>
      <c r="C297" s="524">
        <v>2300</v>
      </c>
      <c r="D297" s="533" t="s">
        <v>995</v>
      </c>
      <c r="E297" s="525">
        <f>SUMIFS('Accounting data'!$G$2:$G$37000,'Accounting data'!$I$2:$I$37000,"7*",'Accounting data'!$J$2:$J$37000,"23*",'Accounting data'!$K$2:$K$37000,"63*")+SUMIFS('Accounting data'!$G$2:$G$37000,'Accounting data'!$I$2:$I$37000,"8*",'Accounting data'!$J$2:$J$37000,"23*",'Accounting data'!$K$2:$K$37000,"63*")+SUMIFS('Accounting data'!$G$2:$G$37000,'Accounting data'!$I$2:$I$37000,"9*",'Accounting data'!$J$2:$J$37000,"23*",'Accounting data'!$K$2:$K$37000,"63*")+SUMIFS('Accounting data'!$G$2:$G$37000,'Accounting data'!$I$2:$I$37000,"7*",'Accounting data'!$J$2:$J$37000,"23*",'Accounting data'!$K$2:$K$37000,"64*")+SUMIFS('Accounting data'!$G$2:$G$37000,'Accounting data'!$I$2:$I$37000,"8*",'Accounting data'!$J$2:$J$37000,"23*",'Accounting data'!$K$2:$K$37000,"64*")+SUMIFS('Accounting data'!$G$2:$G$37000,'Accounting data'!$I$2:$I$37000,"9*",'Accounting data'!$J$2:$J$37000,"23*",'Accounting data'!$K$2:$K$37000,"64*")+SUMIFS('Accounting data'!$G$2:$G$37000,'Accounting data'!$I$2:$I$37000,"7*",'Accounting data'!$J$2:$J$37000,"23*",'Accounting data'!$K$2:$K$37000,"65*")+SUMIFS('Accounting data'!$G$2:$G$37000,'Accounting data'!$I$2:$I$37000,"8*",'Accounting data'!$J$2:$J$37000,"23*",'Accounting data'!$K$2:$K$37000,"65*")+SUMIFS('Accounting data'!$G$2:$G$37000,'Accounting data'!$I$2:$I$37000,"9*",'Accounting data'!$J$2:$J$37000,"23*",'Accounting data'!$K$2:$K$37000,"65*")</f>
        <v>0</v>
      </c>
    </row>
    <row r="298" spans="1:5" x14ac:dyDescent="0.25">
      <c r="A298" s="526" t="s">
        <v>964</v>
      </c>
      <c r="B298" s="524" t="s">
        <v>965</v>
      </c>
      <c r="C298" s="524">
        <v>2300</v>
      </c>
      <c r="D298" s="524">
        <v>6300</v>
      </c>
      <c r="E298" s="525">
        <f>SUMIFS('Accounting data'!$G$2:$G$37000,'Accounting data'!$H$2:$H$37000,"9999*",'Accounting data'!$I$2:$I$37000,"7*",'Accounting data'!$J$2:$J$37000,"23*",'Accounting data'!$K$2:$K$37000,"63*")+SUMIFS('Accounting data'!$G$2:$G$37000,'Accounting data'!$H$2:$H$37000,"9999*",'Accounting data'!$I$2:$I$37000,"8*",'Accounting data'!$J$2:$J$37000,"23*",'Accounting data'!$K$2:$K$37000,"63*")+SUMIFS('Accounting data'!$G$2:$G$37000,'Accounting data'!$H$2:$H$37000,"9999*",'Accounting data'!$I$2:$I$37000,"9*",'Accounting data'!$J$2:$J$37000,"23*",'Accounting data'!$K$2:$K$37000,"63*")</f>
        <v>0</v>
      </c>
    </row>
    <row r="299" spans="1:5" x14ac:dyDescent="0.25">
      <c r="A299" s="526" t="s">
        <v>964</v>
      </c>
      <c r="B299" s="524" t="s">
        <v>965</v>
      </c>
      <c r="C299" s="524">
        <v>2300</v>
      </c>
      <c r="D299" s="524">
        <v>6400</v>
      </c>
      <c r="E299" s="525">
        <f>SUMIFS('Accounting data'!$G$2:$G$37000,'Accounting data'!$H$2:$H$37000,"9999*",'Accounting data'!$I$2:$I$37000,"7*",'Accounting data'!$J$2:$J$37000,"23*",'Accounting data'!$K$2:$K$37000,"64*")+SUMIFS('Accounting data'!$G$2:$G$37000,'Accounting data'!$H$2:$H$37000,"9999*",'Accounting data'!$I$2:$I$37000,"8*",'Accounting data'!$J$2:$J$37000,"23*",'Accounting data'!$K$2:$K$37000,"64*")+SUMIFS('Accounting data'!$G$2:$G$37000,'Accounting data'!$H$2:$H$37000,"9999*",'Accounting data'!$I$2:$I$37000,"9*",'Accounting data'!$J$2:$J$37000,"23*",'Accounting data'!$K$2:$K$37000,"64*")</f>
        <v>0</v>
      </c>
    </row>
    <row r="300" spans="1:5" x14ac:dyDescent="0.25">
      <c r="A300" s="526" t="s">
        <v>964</v>
      </c>
      <c r="B300" s="524" t="s">
        <v>965</v>
      </c>
      <c r="C300" s="524">
        <v>2300</v>
      </c>
      <c r="D300" s="524">
        <v>6500</v>
      </c>
      <c r="E300" s="525">
        <f>SUMIFS('Accounting data'!$G$2:$G$37000,'Accounting data'!$H$2:$H$37000,"9999*",'Accounting data'!$I$2:$I$37000,"7*",'Accounting data'!$J$2:$J$37000,"23*",'Accounting data'!$K$2:$K$37000,"65*")+SUMIFS('Accounting data'!$G$2:$G$37000,'Accounting data'!$H$2:$H$37000,"9999*",'Accounting data'!$I$2:$I$37000,"8*",'Accounting data'!$J$2:$J$37000,"23*",'Accounting data'!$K$2:$K$37000,"65*")+SUMIFS('Accounting data'!$G$2:$G$37000,'Accounting data'!$H$2:$H$37000,"9999*",'Accounting data'!$I$2:$I$37000,"9*",'Accounting data'!$J$2:$J$37000,"23*",'Accounting data'!$K$2:$K$37000,"65*")</f>
        <v>0</v>
      </c>
    </row>
    <row r="319" spans="1:5" x14ac:dyDescent="0.25">
      <c r="A319" s="527" t="s">
        <v>999</v>
      </c>
      <c r="B319" s="527"/>
      <c r="C319" s="527"/>
      <c r="D319" s="527"/>
      <c r="E319" s="529">
        <f>((E293-E294-E295-E296-E297)+(E298+E299+E300+E301+E302+E303+E304+E305+E306))-((E307-E308-E309)+(E310+E311+E312))-((E313-E314-E315)+(E316+E317+E318))</f>
        <v>0</v>
      </c>
    </row>
    <row r="320" spans="1:5" x14ac:dyDescent="0.25">
      <c r="A320" s="524" t="s">
        <v>963</v>
      </c>
      <c r="B320" s="524" t="s">
        <v>963</v>
      </c>
      <c r="C320" s="524">
        <v>2400</v>
      </c>
      <c r="D320" s="533" t="s">
        <v>995</v>
      </c>
      <c r="E320" s="525">
        <f>SUMIFS('Accounting data'!$G$2:$G$37000,'Accounting data'!$J$2:$J$37000,"24*",'Accounting data'!$K$2:$K$37000,"63*")+SUMIFS('Accounting data'!$G$2:$G$37000,'Accounting data'!$J$2:$J$37000,"24*",'Accounting data'!$K$2:$K$37000,"64*")+SUMIFS('Accounting data'!$G$2:$G$37000,'Accounting data'!$J$2:$J$37000,"24*",'Accounting data'!$K$2:$K$37000,"65*")</f>
        <v>287857</v>
      </c>
    </row>
    <row r="321" spans="1:5" x14ac:dyDescent="0.25">
      <c r="A321" s="524" t="s">
        <v>964</v>
      </c>
      <c r="B321" s="524" t="s">
        <v>963</v>
      </c>
      <c r="C321" s="524">
        <v>2400</v>
      </c>
      <c r="D321" s="524">
        <v>6300</v>
      </c>
      <c r="E321" s="525">
        <f>SUMIFS('Accounting data'!$G$2:$G$37000,'Accounting data'!$H$2:$H$37000,"9999*",'Accounting data'!$J$2:$J$37000,"24*",'Accounting data'!$K$2:$K$37000,"63*")</f>
        <v>0</v>
      </c>
    </row>
    <row r="322" spans="1:5" x14ac:dyDescent="0.25">
      <c r="A322" s="524" t="s">
        <v>964</v>
      </c>
      <c r="B322" s="524" t="s">
        <v>963</v>
      </c>
      <c r="C322" s="524">
        <v>2400</v>
      </c>
      <c r="D322" s="524">
        <v>6400</v>
      </c>
      <c r="E322" s="525">
        <f>SUMIFS('Accounting data'!$G$2:$G$37000,'Accounting data'!$H$2:$H$37000,"9999*",'Accounting data'!$J$2:$J$37000,"24*",'Accounting data'!$K$2:$K$37000,"64*")</f>
        <v>0</v>
      </c>
    </row>
    <row r="323" spans="1:5" x14ac:dyDescent="0.25">
      <c r="A323" s="524" t="s">
        <v>964</v>
      </c>
      <c r="B323" s="524" t="s">
        <v>963</v>
      </c>
      <c r="C323" s="524">
        <v>2400</v>
      </c>
      <c r="D323" s="524">
        <v>6500</v>
      </c>
      <c r="E323" s="525">
        <f>SUMIFS('Accounting data'!$G$2:$G$37000,'Accounting data'!$H$2:$H$37000,"9999*",'Accounting data'!$J$2:$J$37000,"24*",'Accounting data'!$K$2:$K$37000,"65*")</f>
        <v>0</v>
      </c>
    </row>
    <row r="324" spans="1:5" x14ac:dyDescent="0.25">
      <c r="A324" s="524" t="s">
        <v>963</v>
      </c>
      <c r="B324" s="524" t="s">
        <v>965</v>
      </c>
      <c r="C324" s="524">
        <v>2400</v>
      </c>
      <c r="D324" s="533" t="s">
        <v>995</v>
      </c>
      <c r="E324" s="525">
        <f>SUMIFS('Accounting data'!$G$2:$G$37000,'Accounting data'!$I$2:$I$37000,"7*",'Accounting data'!$J$2:$J$37000,"24*",'Accounting data'!$K$2:$K$37000,"63*")+SUMIFS('Accounting data'!$G$2:$G$37000,'Accounting data'!$I$2:$I$37000,"8*",'Accounting data'!$J$2:$J$37000,"24*",'Accounting data'!$K$2:$K$37000,"63*")+SUMIFS('Accounting data'!$G$2:$G$37000,'Accounting data'!$I$2:$I$37000,"9*",'Accounting data'!$J$2:$J$37000,"24*",'Accounting data'!$K$2:$K$37000,"63*")+SUMIFS('Accounting data'!$G$2:$G$37000,'Accounting data'!$I$2:$I$37000,"7*",'Accounting data'!$J$2:$J$37000,"24*",'Accounting data'!$K$2:$K$37000,"64*")+SUMIFS('Accounting data'!$G$2:$G$37000,'Accounting data'!$I$2:$I$37000,"8*",'Accounting data'!$J$2:$J$37000,"24*",'Accounting data'!$K$2:$K$37000,"64*")+SUMIFS('Accounting data'!$G$2:$G$37000,'Accounting data'!$I$2:$I$37000,"9*",'Accounting data'!$J$2:$J$37000,"24*",'Accounting data'!$K$2:$K$37000,"64*")+SUMIFS('Accounting data'!$G$2:$G$37000,'Accounting data'!$I$2:$I$37000,"7*",'Accounting data'!$J$2:$J$37000,"24*",'Accounting data'!$K$2:$K$37000,"65*")+SUMIFS('Accounting data'!$G$2:$G$37000,'Accounting data'!$I$2:$I$37000,"8*",'Accounting data'!$J$2:$J$37000,"24*",'Accounting data'!$K$2:$K$37000,"65*")+SUMIFS('Accounting data'!$G$2:$G$37000,'Accounting data'!$I$2:$I$37000,"9*",'Accounting data'!$J$2:$J$37000,"24*",'Accounting data'!$K$2:$K$37000,"65*")</f>
        <v>0</v>
      </c>
    </row>
    <row r="325" spans="1:5" x14ac:dyDescent="0.25">
      <c r="A325" s="526" t="s">
        <v>964</v>
      </c>
      <c r="B325" s="524" t="s">
        <v>965</v>
      </c>
      <c r="C325" s="524">
        <v>2400</v>
      </c>
      <c r="D325" s="524">
        <v>6300</v>
      </c>
      <c r="E325" s="525">
        <f>SUMIFS('Accounting data'!$G$2:$G$37000,'Accounting data'!$H$2:$H$37000,"9999*",'Accounting data'!$I$2:$I$37000,"7*",'Accounting data'!$J$2:$J$37000,"24*",'Accounting data'!$K$2:$K$37000,"63*")+SUMIFS('Accounting data'!$G$2:$G$37000,'Accounting data'!$H$2:$H$37000,"9999*",'Accounting data'!$I$2:$I$37000,"8*",'Accounting data'!$J$2:$J$37000,"24*",'Accounting data'!$K$2:$K$37000,"63*")+SUMIFS('Accounting data'!$G$2:$G$37000,'Accounting data'!$H$2:$H$37000,"9999*",'Accounting data'!$I$2:$I$37000,"9*",'Accounting data'!$J$2:$J$37000,"24*",'Accounting data'!$K$2:$K$37000,"63*")</f>
        <v>0</v>
      </c>
    </row>
    <row r="326" spans="1:5" x14ac:dyDescent="0.25">
      <c r="A326" s="526" t="s">
        <v>964</v>
      </c>
      <c r="B326" s="524" t="s">
        <v>965</v>
      </c>
      <c r="C326" s="524">
        <v>2400</v>
      </c>
      <c r="D326" s="524">
        <v>6400</v>
      </c>
      <c r="E326" s="525">
        <f>SUMIFS('Accounting data'!$G$2:$G$37000,'Accounting data'!$H$2:$H$37000,"9999*",'Accounting data'!$I$2:$I$37000,"7*",'Accounting data'!$J$2:$J$37000,"24*",'Accounting data'!$K$2:$K$37000,"64*")+SUMIFS('Accounting data'!$G$2:$G$37000,'Accounting data'!$H$2:$H$37000,"9999*",'Accounting data'!$I$2:$I$37000,"8*",'Accounting data'!$J$2:$J$37000,"24*",'Accounting data'!$K$2:$K$37000,"64*")+SUMIFS('Accounting data'!$G$2:$G$37000,'Accounting data'!$H$2:$H$37000,"9999*",'Accounting data'!$I$2:$I$37000,"9*",'Accounting data'!$J$2:$J$37000,"24*",'Accounting data'!$K$2:$K$37000,"64*")</f>
        <v>0</v>
      </c>
    </row>
    <row r="327" spans="1:5" x14ac:dyDescent="0.25">
      <c r="A327" s="526" t="s">
        <v>964</v>
      </c>
      <c r="B327" s="524" t="s">
        <v>965</v>
      </c>
      <c r="C327" s="524">
        <v>2400</v>
      </c>
      <c r="D327" s="524">
        <v>6500</v>
      </c>
      <c r="E327" s="525">
        <f>SUMIFS('Accounting data'!$G$2:$G$37000,'Accounting data'!$H$2:$H$37000,"9999*",'Accounting data'!$I$2:$I$37000,"7*",'Accounting data'!$J$2:$J$37000,"24*",'Accounting data'!$K$2:$K$37000,"65*")+SUMIFS('Accounting data'!$G$2:$G$37000,'Accounting data'!$H$2:$H$37000,"9999*",'Accounting data'!$I$2:$I$37000,"8*",'Accounting data'!$J$2:$J$37000,"24*",'Accounting data'!$K$2:$K$37000,"65*")+SUMIFS('Accounting data'!$G$2:$G$37000,'Accounting data'!$H$2:$H$37000,"9999*",'Accounting data'!$I$2:$I$37000,"9*",'Accounting data'!$J$2:$J$37000,"24*",'Accounting data'!$K$2:$K$37000,"65*")</f>
        <v>0</v>
      </c>
    </row>
    <row r="346" spans="1:5" x14ac:dyDescent="0.25">
      <c r="A346" s="527" t="s">
        <v>1000</v>
      </c>
      <c r="B346" s="527"/>
      <c r="C346" s="527"/>
      <c r="D346" s="527"/>
      <c r="E346" s="529">
        <f>((E320-E321-E322-E323-E324)+(E325+E326+E327+E328+E329+E330+E331+E332+E333))-((E334-E335-E336)+(E337+E338+E339))-((E340-E341-E342)+(E343+E344+E345))</f>
        <v>287857</v>
      </c>
    </row>
    <row r="347" spans="1:5" x14ac:dyDescent="0.25">
      <c r="A347" s="524" t="s">
        <v>963</v>
      </c>
      <c r="B347" s="524" t="s">
        <v>963</v>
      </c>
      <c r="C347" s="524">
        <v>2500</v>
      </c>
      <c r="D347" s="533" t="s">
        <v>995</v>
      </c>
      <c r="E347" s="525">
        <f>SUMIFS('Accounting data'!$G$2:$G$37000,'Accounting data'!$J$2:$J$37000,"25*",'Accounting data'!$K$2:$K$37000,"63*")+SUMIFS('Accounting data'!$G$2:$G$37000,'Accounting data'!$J$2:$J$37000,"25*",'Accounting data'!$K$2:$K$37000,"64*")+SUMIFS('Accounting data'!$G$2:$G$37000,'Accounting data'!$J$2:$J$37000,"25*",'Accounting data'!$K$2:$K$37000,"65*")</f>
        <v>26106</v>
      </c>
    </row>
    <row r="348" spans="1:5" x14ac:dyDescent="0.25">
      <c r="A348" s="524" t="s">
        <v>964</v>
      </c>
      <c r="B348" s="524" t="s">
        <v>963</v>
      </c>
      <c r="C348" s="524">
        <v>2500</v>
      </c>
      <c r="D348" s="524">
        <v>6300</v>
      </c>
      <c r="E348" s="525">
        <f>SUMIFS('Accounting data'!$G$2:$G$37000,'Accounting data'!$H$2:$H$37000,"9999*",'Accounting data'!$J$2:$J$37000,"25*",'Accounting data'!$K$2:$K$37000,"63*")</f>
        <v>0</v>
      </c>
    </row>
    <row r="349" spans="1:5" x14ac:dyDescent="0.25">
      <c r="A349" s="524" t="s">
        <v>964</v>
      </c>
      <c r="B349" s="524" t="s">
        <v>963</v>
      </c>
      <c r="C349" s="524">
        <v>2500</v>
      </c>
      <c r="D349" s="524">
        <v>6400</v>
      </c>
      <c r="E349" s="525">
        <f>SUMIFS('Accounting data'!$G$2:$G$37000,'Accounting data'!$H$2:$H$37000,"9999*",'Accounting data'!$J$2:$J$37000,"25*",'Accounting data'!$K$2:$K$37000,"64*")</f>
        <v>0</v>
      </c>
    </row>
    <row r="350" spans="1:5" x14ac:dyDescent="0.25">
      <c r="A350" s="524" t="s">
        <v>964</v>
      </c>
      <c r="B350" s="524" t="s">
        <v>963</v>
      </c>
      <c r="C350" s="524">
        <v>2500</v>
      </c>
      <c r="D350" s="524">
        <v>6500</v>
      </c>
      <c r="E350" s="525">
        <f>SUMIFS('Accounting data'!$G$2:$G$37000,'Accounting data'!$H$2:$H$37000,"9999*",'Accounting data'!$J$2:$J$37000,"25*",'Accounting data'!$K$2:$K$37000,"65*")</f>
        <v>0</v>
      </c>
    </row>
    <row r="351" spans="1:5" x14ac:dyDescent="0.25">
      <c r="A351" s="524" t="s">
        <v>963</v>
      </c>
      <c r="B351" s="524" t="s">
        <v>965</v>
      </c>
      <c r="C351" s="524">
        <v>2500</v>
      </c>
      <c r="D351" s="533" t="s">
        <v>995</v>
      </c>
      <c r="E351" s="525">
        <f>SUMIFS('Accounting data'!$G$2:$G$37000,'Accounting data'!$I$2:$I$37000,"7*",'Accounting data'!$J$2:$J$37000,"25*",'Accounting data'!$K$2:$K$37000,"63*")+SUMIFS('Accounting data'!$G$2:$G$37000,'Accounting data'!$I$2:$I$37000,"8*",'Accounting data'!$J$2:$J$37000,"25*",'Accounting data'!$K$2:$K$37000,"63*")+SUMIFS('Accounting data'!$G$2:$G$37000,'Accounting data'!$I$2:$I$37000,"9*",'Accounting data'!$J$2:$J$37000,"25*",'Accounting data'!$K$2:$K$37000,"63*")+SUMIFS('Accounting data'!$G$2:$G$37000,'Accounting data'!$I$2:$I$37000,"7*",'Accounting data'!$J$2:$J$37000,"25*",'Accounting data'!$K$2:$K$37000,"64*")+SUMIFS('Accounting data'!$G$2:$G$37000,'Accounting data'!$I$2:$I$37000,"8*",'Accounting data'!$J$2:$J$37000,"25*",'Accounting data'!$K$2:$K$37000,"64*")+SUMIFS('Accounting data'!$G$2:$G$37000,'Accounting data'!$I$2:$I$37000,"9*",'Accounting data'!$J$2:$J$37000,"25*",'Accounting data'!$K$2:$K$37000,"64*")+SUMIFS('Accounting data'!$G$2:$G$37000,'Accounting data'!$I$2:$I$37000,"7*",'Accounting data'!$J$2:$J$37000,"25*",'Accounting data'!$K$2:$K$37000,"65*")+SUMIFS('Accounting data'!$G$2:$G$37000,'Accounting data'!$I$2:$I$37000,"8*",'Accounting data'!$J$2:$J$37000,"25*",'Accounting data'!$K$2:$K$37000,"65*")+SUMIFS('Accounting data'!$G$2:$G$37000,'Accounting data'!$I$2:$I$37000,"9*",'Accounting data'!$J$2:$J$37000,"25*",'Accounting data'!$K$2:$K$37000,"65*")</f>
        <v>0</v>
      </c>
    </row>
    <row r="352" spans="1:5" x14ac:dyDescent="0.25">
      <c r="A352" s="526" t="s">
        <v>964</v>
      </c>
      <c r="B352" s="524" t="s">
        <v>965</v>
      </c>
      <c r="C352" s="524">
        <v>2500</v>
      </c>
      <c r="D352" s="524">
        <v>6300</v>
      </c>
      <c r="E352" s="525">
        <f>SUMIFS('Accounting data'!$G$2:$G$37000,'Accounting data'!$H$2:$H$37000,"9999*",'Accounting data'!$I$2:$I$37000,"7*",'Accounting data'!$J$2:$J$37000,"25*",'Accounting data'!$K$2:$K$37000,"63*")+SUMIFS('Accounting data'!$G$2:$G$37000,'Accounting data'!$H$2:$H$37000,"9999*",'Accounting data'!$I$2:$I$37000,"8*",'Accounting data'!$J$2:$J$37000,"25*",'Accounting data'!$K$2:$K$37000,"63*")+SUMIFS('Accounting data'!$G$2:$G$37000,'Accounting data'!$H$2:$H$37000,"9999*",'Accounting data'!$I$2:$I$37000,"9*",'Accounting data'!$J$2:$J$37000,"25*",'Accounting data'!$K$2:$K$37000,"63*")</f>
        <v>0</v>
      </c>
    </row>
    <row r="353" spans="1:5" x14ac:dyDescent="0.25">
      <c r="A353" s="526" t="s">
        <v>964</v>
      </c>
      <c r="B353" s="524" t="s">
        <v>965</v>
      </c>
      <c r="C353" s="524">
        <v>2500</v>
      </c>
      <c r="D353" s="524">
        <v>6400</v>
      </c>
      <c r="E353" s="525">
        <f>SUMIFS('Accounting data'!$G$2:$G$37000,'Accounting data'!$H$2:$H$37000,"9999*",'Accounting data'!$I$2:$I$37000,"7*",'Accounting data'!$J$2:$J$37000,"25*",'Accounting data'!$K$2:$K$37000,"64*")+SUMIFS('Accounting data'!$G$2:$G$37000,'Accounting data'!$H$2:$H$37000,"9999*",'Accounting data'!$I$2:$I$37000,"8*",'Accounting data'!$J$2:$J$37000,"25*",'Accounting data'!$K$2:$K$37000,"64*")+SUMIFS('Accounting data'!$G$2:$G$37000,'Accounting data'!$H$2:$H$37000,"9999*",'Accounting data'!$I$2:$I$37000,"9*",'Accounting data'!$J$2:$J$37000,"25*",'Accounting data'!$K$2:$K$37000,"64*")</f>
        <v>0</v>
      </c>
    </row>
    <row r="354" spans="1:5" x14ac:dyDescent="0.25">
      <c r="A354" s="526" t="s">
        <v>964</v>
      </c>
      <c r="B354" s="524" t="s">
        <v>965</v>
      </c>
      <c r="C354" s="524">
        <v>2500</v>
      </c>
      <c r="D354" s="524">
        <v>6500</v>
      </c>
      <c r="E354" s="525">
        <f>SUMIFS('Accounting data'!$G$2:$G$37000,'Accounting data'!$H$2:$H$37000,"9999*",'Accounting data'!$I$2:$I$37000,"7*",'Accounting data'!$J$2:$J$37000,"25*",'Accounting data'!$K$2:$K$37000,"65*")+SUMIFS('Accounting data'!$G$2:$G$37000,'Accounting data'!$H$2:$H$37000,"9999*",'Accounting data'!$I$2:$I$37000,"8*",'Accounting data'!$J$2:$J$37000,"25*",'Accounting data'!$K$2:$K$37000,"65*")+SUMIFS('Accounting data'!$G$2:$G$37000,'Accounting data'!$H$2:$H$37000,"9999*",'Accounting data'!$I$2:$I$37000,"9*",'Accounting data'!$J$2:$J$37000,"25*",'Accounting data'!$K$2:$K$37000,"65*")</f>
        <v>0</v>
      </c>
    </row>
    <row r="373" spans="1:5" x14ac:dyDescent="0.25">
      <c r="A373" s="527" t="s">
        <v>1001</v>
      </c>
      <c r="B373" s="527"/>
      <c r="C373" s="527"/>
      <c r="D373" s="527"/>
      <c r="E373" s="529">
        <f>((E347-E348-E349-E350-E351)+(E352+E353+E354+E355+E356+E357+E358+E359+E360))-((E361-E362-E363)+(E364+E365+E366))-((E367-E368-E369)+(E370+E371+E372))</f>
        <v>26106</v>
      </c>
    </row>
    <row r="374" spans="1:5" x14ac:dyDescent="0.25">
      <c r="A374" s="524" t="s">
        <v>963</v>
      </c>
      <c r="B374" s="524" t="s">
        <v>963</v>
      </c>
      <c r="C374" s="524">
        <v>2900</v>
      </c>
      <c r="D374" s="533" t="s">
        <v>995</v>
      </c>
      <c r="E374" s="525">
        <f>SUMIFS('Accounting data'!$G$2:$G$37000,'Accounting data'!$J$2:$J$37000,"29*",'Accounting data'!$K$2:$K$37000,"63*")+SUMIFS('Accounting data'!$G$2:$G$37000,'Accounting data'!$J$2:$J$37000,"29*",'Accounting data'!$K$2:$K$37000,"64*")+SUMIFS('Accounting data'!$G$2:$G$37000,'Accounting data'!$J$2:$J$37000,"29*",'Accounting data'!$K$2:$K$37000,"65*")</f>
        <v>0</v>
      </c>
    </row>
    <row r="375" spans="1:5" x14ac:dyDescent="0.25">
      <c r="A375" s="524" t="s">
        <v>964</v>
      </c>
      <c r="B375" s="524" t="s">
        <v>963</v>
      </c>
      <c r="C375" s="524">
        <v>2900</v>
      </c>
      <c r="D375" s="524">
        <v>6300</v>
      </c>
      <c r="E375" s="525">
        <f>SUMIFS('Accounting data'!$G$2:$G$37000,'Accounting data'!$H$2:$H$37000,"9999*",'Accounting data'!$J$2:$J$37000,"29*",'Accounting data'!$K$2:$K$37000,"63*")</f>
        <v>0</v>
      </c>
    </row>
    <row r="376" spans="1:5" x14ac:dyDescent="0.25">
      <c r="A376" s="524" t="s">
        <v>964</v>
      </c>
      <c r="B376" s="524" t="s">
        <v>963</v>
      </c>
      <c r="C376" s="524">
        <v>2900</v>
      </c>
      <c r="D376" s="524">
        <v>6400</v>
      </c>
      <c r="E376" s="525">
        <f>SUMIFS('Accounting data'!$G$2:$G$37000,'Accounting data'!$H$2:$H$37000,"9999*",'Accounting data'!$J$2:$J$37000,"29*",'Accounting data'!$K$2:$K$37000,"64*")</f>
        <v>0</v>
      </c>
    </row>
    <row r="377" spans="1:5" x14ac:dyDescent="0.25">
      <c r="A377" s="524" t="s">
        <v>964</v>
      </c>
      <c r="B377" s="524" t="s">
        <v>963</v>
      </c>
      <c r="C377" s="524">
        <v>2900</v>
      </c>
      <c r="D377" s="524">
        <v>6500</v>
      </c>
      <c r="E377" s="525">
        <f>SUMIFS('Accounting data'!$G$2:$G$37000,'Accounting data'!$H$2:$H$37000,"9999*",'Accounting data'!$J$2:$J$37000,"29*",'Accounting data'!$K$2:$K$37000,"65*")</f>
        <v>0</v>
      </c>
    </row>
    <row r="378" spans="1:5" x14ac:dyDescent="0.25">
      <c r="A378" s="524" t="s">
        <v>963</v>
      </c>
      <c r="B378" s="524" t="s">
        <v>965</v>
      </c>
      <c r="C378" s="524">
        <v>2900</v>
      </c>
      <c r="D378" s="533" t="s">
        <v>995</v>
      </c>
      <c r="E378" s="525">
        <f>SUMIFS('Accounting data'!$G$2:$G$37000,'Accounting data'!$I$2:$I$37000,"7*",'Accounting data'!$J$2:$J$37000,"29*",'Accounting data'!$K$2:$K$37000,"63*")+SUMIFS('Accounting data'!$G$2:$G$37000,'Accounting data'!$I$2:$I$37000,"8*",'Accounting data'!$J$2:$J$37000,"29*",'Accounting data'!$K$2:$K$37000,"63*")+SUMIFS('Accounting data'!$G$2:$G$37000,'Accounting data'!$I$2:$I$37000,"9*",'Accounting data'!$J$2:$J$37000,"29*",'Accounting data'!$K$2:$K$37000,"63*")+SUMIFS('Accounting data'!$G$2:$G$37000,'Accounting data'!$I$2:$I$37000,"7*",'Accounting data'!$J$2:$J$37000,"29*",'Accounting data'!$K$2:$K$37000,"64*")+SUMIFS('Accounting data'!$G$2:$G$37000,'Accounting data'!$I$2:$I$37000,"8*",'Accounting data'!$J$2:$J$37000,"29*",'Accounting data'!$K$2:$K$37000,"64*")+SUMIFS('Accounting data'!$G$2:$G$37000,'Accounting data'!$I$2:$I$37000,"9*",'Accounting data'!$J$2:$J$37000,"29*",'Accounting data'!$K$2:$K$37000,"64*")+SUMIFS('Accounting data'!$G$2:$G$37000,'Accounting data'!$I$2:$I$37000,"7*",'Accounting data'!$J$2:$J$37000,"29*",'Accounting data'!$K$2:$K$37000,"65*")+SUMIFS('Accounting data'!$G$2:$G$37000,'Accounting data'!$I$2:$I$37000,"8*",'Accounting data'!$J$2:$J$37000,"29*",'Accounting data'!$K$2:$K$37000,"65*")+SUMIFS('Accounting data'!$G$2:$G$37000,'Accounting data'!$I$2:$I$37000,"9*",'Accounting data'!$J$2:$J$37000,"29*",'Accounting data'!$K$2:$K$37000,"65*")</f>
        <v>0</v>
      </c>
    </row>
    <row r="379" spans="1:5" x14ac:dyDescent="0.25">
      <c r="A379" s="526" t="s">
        <v>964</v>
      </c>
      <c r="B379" s="524" t="s">
        <v>965</v>
      </c>
      <c r="C379" s="524">
        <v>2900</v>
      </c>
      <c r="D379" s="524">
        <v>6300</v>
      </c>
      <c r="E379" s="525">
        <f>SUMIFS('Accounting data'!$G$2:$G$37000,'Accounting data'!$H$2:$H$37000,"9999*",'Accounting data'!$I$2:$I$37000,"7*",'Accounting data'!$J$2:$J$37000,"29*",'Accounting data'!$K$2:$K$37000,"63*")+SUMIFS('Accounting data'!$G$2:$G$37000,'Accounting data'!$H$2:$H$37000,"9999*",'Accounting data'!$I$2:$I$37000,"8*",'Accounting data'!$J$2:$J$37000,"29*",'Accounting data'!$K$2:$K$37000,"63*")+SUMIFS('Accounting data'!$G$2:$G$37000,'Accounting data'!$H$2:$H$37000,"9999*",'Accounting data'!$I$2:$I$37000,"9*",'Accounting data'!$J$2:$J$37000,"29*",'Accounting data'!$K$2:$K$37000,"63*")</f>
        <v>0</v>
      </c>
    </row>
    <row r="380" spans="1:5" x14ac:dyDescent="0.25">
      <c r="A380" s="526" t="s">
        <v>964</v>
      </c>
      <c r="B380" s="524" t="s">
        <v>965</v>
      </c>
      <c r="C380" s="524">
        <v>2900</v>
      </c>
      <c r="D380" s="524">
        <v>6400</v>
      </c>
      <c r="E380" s="525">
        <f>SUMIFS('Accounting data'!$G$2:$G$37000,'Accounting data'!$H$2:$H$37000,"9999*",'Accounting data'!$I$2:$I$37000,"7*",'Accounting data'!$J$2:$J$37000,"29*",'Accounting data'!$K$2:$K$37000,"64*")+SUMIFS('Accounting data'!$G$2:$G$37000,'Accounting data'!$H$2:$H$37000,"9999*",'Accounting data'!$I$2:$I$37000,"8*",'Accounting data'!$J$2:$J$37000,"29*",'Accounting data'!$K$2:$K$37000,"64*")+SUMIFS('Accounting data'!$G$2:$G$37000,'Accounting data'!$H$2:$H$37000,"9999*",'Accounting data'!$I$2:$I$37000,"9*",'Accounting data'!$J$2:$J$37000,"29*",'Accounting data'!$K$2:$K$37000,"64*")</f>
        <v>0</v>
      </c>
    </row>
    <row r="381" spans="1:5" x14ac:dyDescent="0.25">
      <c r="A381" s="526" t="s">
        <v>964</v>
      </c>
      <c r="B381" s="524" t="s">
        <v>965</v>
      </c>
      <c r="C381" s="524">
        <v>2900</v>
      </c>
      <c r="D381" s="524">
        <v>6500</v>
      </c>
      <c r="E381" s="525">
        <f>SUMIFS('Accounting data'!$G$2:$G$37000,'Accounting data'!$H$2:$H$37000,"9999*",'Accounting data'!$I$2:$I$37000,"7*",'Accounting data'!$J$2:$J$37000,"29*",'Accounting data'!$K$2:$K$37000,"65*")+SUMIFS('Accounting data'!$G$2:$G$37000,'Accounting data'!$H$2:$H$37000,"9999*",'Accounting data'!$I$2:$I$37000,"8*",'Accounting data'!$J$2:$J$37000,"29*",'Accounting data'!$K$2:$K$37000,"65*")+SUMIFS('Accounting data'!$G$2:$G$37000,'Accounting data'!$H$2:$H$37000,"9999*",'Accounting data'!$I$2:$I$37000,"9*",'Accounting data'!$J$2:$J$37000,"29*",'Accounting data'!$K$2:$K$37000,"65*")</f>
        <v>0</v>
      </c>
    </row>
    <row r="400" spans="1:5" x14ac:dyDescent="0.25">
      <c r="A400" s="527" t="s">
        <v>1002</v>
      </c>
      <c r="B400" s="527"/>
      <c r="C400" s="527"/>
      <c r="D400" s="527"/>
      <c r="E400" s="529">
        <f>((E374-E375-E376-E377-E378)+(E379+E380+E381+E382+E383+E384+E385+E386+E387))-((E388-E389-E390)+(E391+E392+E393))-((E394-E395-E396)+(E397+E398+E399))</f>
        <v>0</v>
      </c>
    </row>
    <row r="401" spans="1:5" x14ac:dyDescent="0.25">
      <c r="A401" s="524" t="s">
        <v>963</v>
      </c>
      <c r="B401" s="524" t="s">
        <v>963</v>
      </c>
      <c r="C401" s="524">
        <v>2600</v>
      </c>
      <c r="D401" s="533" t="s">
        <v>995</v>
      </c>
      <c r="E401" s="525">
        <f>SUMIFS('Accounting data'!$G$2:$G$37000,'Accounting data'!$J$2:$J$37000,"26*",'Accounting data'!$K$2:$K$37000,"63*")+SUMIFS('Accounting data'!$G$2:$G$37000,'Accounting data'!$J$2:$J$37000,"26*",'Accounting data'!$K$2:$K$37000,"64*")+SUMIFS('Accounting data'!$G$2:$G$37000,'Accounting data'!$J$2:$J$37000,"26*",'Accounting data'!$K$2:$K$37000,"65*")</f>
        <v>1004527</v>
      </c>
    </row>
    <row r="402" spans="1:5" x14ac:dyDescent="0.25">
      <c r="A402" s="524" t="s">
        <v>964</v>
      </c>
      <c r="B402" s="524" t="s">
        <v>963</v>
      </c>
      <c r="C402" s="524">
        <v>2600</v>
      </c>
      <c r="D402" s="524">
        <v>6300</v>
      </c>
      <c r="E402" s="525">
        <f>SUMIFS('Accounting data'!$G$2:$G$37000,'Accounting data'!$H$2:$H$37000,"9999*",'Accounting data'!$J$2:$J$37000,"26*",'Accounting data'!$K$2:$K$37000,"63*")</f>
        <v>0</v>
      </c>
    </row>
    <row r="403" spans="1:5" x14ac:dyDescent="0.25">
      <c r="A403" s="524" t="s">
        <v>964</v>
      </c>
      <c r="B403" s="524" t="s">
        <v>963</v>
      </c>
      <c r="C403" s="524">
        <v>2600</v>
      </c>
      <c r="D403" s="524">
        <v>6400</v>
      </c>
      <c r="E403" s="525">
        <f>SUMIFS('Accounting data'!$G$2:$G$37000,'Accounting data'!$H$2:$H$37000,"9999*",'Accounting data'!$J$2:$J$37000,"26*",'Accounting data'!$K$2:$K$37000,"64*")</f>
        <v>0</v>
      </c>
    </row>
    <row r="404" spans="1:5" x14ac:dyDescent="0.25">
      <c r="A404" s="524" t="s">
        <v>964</v>
      </c>
      <c r="B404" s="524" t="s">
        <v>963</v>
      </c>
      <c r="C404" s="524">
        <v>2600</v>
      </c>
      <c r="D404" s="524">
        <v>6500</v>
      </c>
      <c r="E404" s="525">
        <f>SUMIFS('Accounting data'!$G$2:$G$37000,'Accounting data'!$H$2:$H$37000,"9999*",'Accounting data'!$J$2:$J$37000,"26*",'Accounting data'!$K$2:$K$37000,"65*")</f>
        <v>0</v>
      </c>
    </row>
    <row r="405" spans="1:5" x14ac:dyDescent="0.25">
      <c r="A405" s="524" t="s">
        <v>963</v>
      </c>
      <c r="B405" s="524" t="s">
        <v>965</v>
      </c>
      <c r="C405" s="524">
        <v>2600</v>
      </c>
      <c r="D405" s="533" t="s">
        <v>995</v>
      </c>
      <c r="E405" s="525">
        <f>SUMIFS('Accounting data'!$G$2:$G$37000,'Accounting data'!$I$2:$I$37000,"7*",'Accounting data'!$J$2:$J$37000,"26*",'Accounting data'!$K$2:$K$37000,"63*")+SUMIFS('Accounting data'!$G$2:$G$37000,'Accounting data'!$I$2:$I$37000,"8*",'Accounting data'!$J$2:$J$37000,"26*",'Accounting data'!$K$2:$K$37000,"63*")+SUMIFS('Accounting data'!$G$2:$G$37000,'Accounting data'!$I$2:$I$37000,"9*",'Accounting data'!$J$2:$J$37000,"26*",'Accounting data'!$K$2:$K$37000,"63*")+SUMIFS('Accounting data'!$G$2:$G$37000,'Accounting data'!$I$2:$I$37000,"7*",'Accounting data'!$J$2:$J$37000,"26*",'Accounting data'!$K$2:$K$37000,"64*")+SUMIFS('Accounting data'!$G$2:$G$37000,'Accounting data'!$I$2:$I$37000,"8*",'Accounting data'!$J$2:$J$37000,"26*",'Accounting data'!$K$2:$K$37000,"64*")+SUMIFS('Accounting data'!$G$2:$G$37000,'Accounting data'!$I$2:$I$37000,"9*",'Accounting data'!$J$2:$J$37000,"26*",'Accounting data'!$K$2:$K$37000,"64*")+SUMIFS('Accounting data'!$G$2:$G$37000,'Accounting data'!$I$2:$I$37000,"7*",'Accounting data'!$J$2:$J$37000,"26*",'Accounting data'!$K$2:$K$37000,"65*")+SUMIFS('Accounting data'!$G$2:$G$37000,'Accounting data'!$I$2:$I$37000,"8*",'Accounting data'!$J$2:$J$37000,"26*",'Accounting data'!$K$2:$K$37000,"65*")+SUMIFS('Accounting data'!$G$2:$G$37000,'Accounting data'!$I$2:$I$37000,"9*",'Accounting data'!$J$2:$J$37000,"26*",'Accounting data'!$K$2:$K$37000,"65*")</f>
        <v>0</v>
      </c>
    </row>
    <row r="406" spans="1:5" x14ac:dyDescent="0.25">
      <c r="A406" s="526" t="s">
        <v>964</v>
      </c>
      <c r="B406" s="524" t="s">
        <v>965</v>
      </c>
      <c r="C406" s="524">
        <v>2600</v>
      </c>
      <c r="D406" s="524">
        <v>6300</v>
      </c>
      <c r="E406" s="525">
        <f>SUMIFS('Accounting data'!$G$2:$G$37000,'Accounting data'!$H$2:$H$37000,"9999*",'Accounting data'!$I$2:$I$37000,"7*",'Accounting data'!$J$2:$J$37000,"26*",'Accounting data'!$K$2:$K$37000,"63*")+SUMIFS('Accounting data'!$G$2:$G$37000,'Accounting data'!$H$2:$H$37000,"9999*",'Accounting data'!$I$2:$I$37000,"8*",'Accounting data'!$J$2:$J$37000,"26*",'Accounting data'!$K$2:$K$37000,"63*")+SUMIFS('Accounting data'!$G$2:$G$37000,'Accounting data'!$H$2:$H$37000,"9999*",'Accounting data'!$I$2:$I$37000,"9*",'Accounting data'!$J$2:$J$37000,"26*",'Accounting data'!$K$2:$K$37000,"63*")</f>
        <v>0</v>
      </c>
    </row>
    <row r="407" spans="1:5" x14ac:dyDescent="0.25">
      <c r="A407" s="526" t="s">
        <v>964</v>
      </c>
      <c r="B407" s="524" t="s">
        <v>965</v>
      </c>
      <c r="C407" s="524">
        <v>2600</v>
      </c>
      <c r="D407" s="524">
        <v>6400</v>
      </c>
      <c r="E407" s="525">
        <f>SUMIFS('Accounting data'!$G$2:$G$37000,'Accounting data'!$H$2:$H$37000,"9999*",'Accounting data'!$I$2:$I$37000,"7*",'Accounting data'!$J$2:$J$37000,"26*",'Accounting data'!$K$2:$K$37000,"64*")+SUMIFS('Accounting data'!$G$2:$G$37000,'Accounting data'!$H$2:$H$37000,"9999*",'Accounting data'!$I$2:$I$37000,"8*",'Accounting data'!$J$2:$J$37000,"26*",'Accounting data'!$K$2:$K$37000,"64*")+SUMIFS('Accounting data'!$G$2:$G$37000,'Accounting data'!$H$2:$H$37000,"9999*",'Accounting data'!$I$2:$I$37000,"9*",'Accounting data'!$J$2:$J$37000,"26*",'Accounting data'!$K$2:$K$37000,"64*")</f>
        <v>0</v>
      </c>
    </row>
    <row r="408" spans="1:5" x14ac:dyDescent="0.25">
      <c r="A408" s="526" t="s">
        <v>964</v>
      </c>
      <c r="B408" s="524" t="s">
        <v>965</v>
      </c>
      <c r="C408" s="524">
        <v>2600</v>
      </c>
      <c r="D408" s="524">
        <v>6500</v>
      </c>
      <c r="E408" s="525">
        <f>SUMIFS('Accounting data'!$G$2:$G$37000,'Accounting data'!$H$2:$H$37000,"9999*",'Accounting data'!$I$2:$I$37000,"7*",'Accounting data'!$J$2:$J$37000,"26*",'Accounting data'!$K$2:$K$37000,"65*")+SUMIFS('Accounting data'!$G$2:$G$37000,'Accounting data'!$H$2:$H$37000,"9999*",'Accounting data'!$I$2:$I$37000,"8*",'Accounting data'!$J$2:$J$37000,"26*",'Accounting data'!$K$2:$K$37000,"65*")+SUMIFS('Accounting data'!$G$2:$G$37000,'Accounting data'!$H$2:$H$37000,"9999*",'Accounting data'!$I$2:$I$37000,"9*",'Accounting data'!$J$2:$J$37000,"26*",'Accounting data'!$K$2:$K$37000,"65*")</f>
        <v>0</v>
      </c>
    </row>
    <row r="427" spans="1:5" x14ac:dyDescent="0.25">
      <c r="A427" s="527" t="s">
        <v>1003</v>
      </c>
      <c r="B427" s="527"/>
      <c r="C427" s="527"/>
      <c r="D427" s="527"/>
      <c r="E427" s="529">
        <f>((E401-E402-E403-E404-E405)+(E406+E407+E408+E409+E410+E411+E412+E413+E414))-((E415-E416-E417)+(E418+E419+E420))-((E421-E422-E423)+(E424+E425+E426))</f>
        <v>1004527</v>
      </c>
    </row>
    <row r="428" spans="1:5" x14ac:dyDescent="0.25">
      <c r="A428" s="524" t="s">
        <v>963</v>
      </c>
      <c r="B428" s="524" t="s">
        <v>963</v>
      </c>
      <c r="C428" s="524">
        <v>2700</v>
      </c>
      <c r="D428" s="533" t="s">
        <v>995</v>
      </c>
      <c r="E428" s="525">
        <f>SUMIFS('Accounting data'!$G$2:$G$37000,'Accounting data'!$J$2:$J$37000,"27*",'Accounting data'!$K$2:$K$37000,"63*")+SUMIFS('Accounting data'!$G$2:$G$37000,'Accounting data'!$J$2:$J$37000,"27*",'Accounting data'!$K$2:$K$37000,"64*")+SUMIFS('Accounting data'!$G$2:$G$37000,'Accounting data'!$J$2:$J$37000,"27*",'Accounting data'!$K$2:$K$37000,"65*")</f>
        <v>0</v>
      </c>
    </row>
    <row r="429" spans="1:5" x14ac:dyDescent="0.25">
      <c r="A429" s="524" t="s">
        <v>964</v>
      </c>
      <c r="B429" s="524" t="s">
        <v>963</v>
      </c>
      <c r="C429" s="524">
        <v>2700</v>
      </c>
      <c r="D429" s="524">
        <v>6300</v>
      </c>
      <c r="E429" s="525">
        <f>SUMIFS('Accounting data'!$G$2:$G$37000,'Accounting data'!$H$2:$H$37000,"9999*",'Accounting data'!$J$2:$J$37000,"27*",'Accounting data'!$K$2:$K$37000,"63*")</f>
        <v>0</v>
      </c>
    </row>
    <row r="430" spans="1:5" x14ac:dyDescent="0.25">
      <c r="A430" s="524" t="s">
        <v>964</v>
      </c>
      <c r="B430" s="524" t="s">
        <v>963</v>
      </c>
      <c r="C430" s="524">
        <v>2700</v>
      </c>
      <c r="D430" s="524">
        <v>6400</v>
      </c>
      <c r="E430" s="525">
        <f>SUMIFS('Accounting data'!$G$2:$G$37000,'Accounting data'!$H$2:$H$37000,"9999*",'Accounting data'!$J$2:$J$37000,"27*",'Accounting data'!$K$2:$K$37000,"64*")</f>
        <v>0</v>
      </c>
    </row>
    <row r="431" spans="1:5" x14ac:dyDescent="0.25">
      <c r="A431" s="524" t="s">
        <v>964</v>
      </c>
      <c r="B431" s="524" t="s">
        <v>963</v>
      </c>
      <c r="C431" s="524">
        <v>2700</v>
      </c>
      <c r="D431" s="524">
        <v>6500</v>
      </c>
      <c r="E431" s="525">
        <f>SUMIFS('Accounting data'!$G$2:$G$37000,'Accounting data'!$H$2:$H$37000,"9999*",'Accounting data'!$J$2:$J$37000,"27*",'Accounting data'!$K$2:$K$37000,"65*")</f>
        <v>0</v>
      </c>
    </row>
    <row r="432" spans="1:5" x14ac:dyDescent="0.25">
      <c r="A432" s="524" t="s">
        <v>963</v>
      </c>
      <c r="B432" s="524" t="s">
        <v>965</v>
      </c>
      <c r="C432" s="524">
        <v>2700</v>
      </c>
      <c r="D432" s="533" t="s">
        <v>995</v>
      </c>
      <c r="E432" s="525">
        <f>SUMIFS('Accounting data'!$G$2:$G$37000,'Accounting data'!$I$2:$I$37000,"7*",'Accounting data'!$J$2:$J$37000,"27*",'Accounting data'!$K$2:$K$37000,"63*")+SUMIFS('Accounting data'!$G$2:$G$37000,'Accounting data'!$I$2:$I$37000,"8*",'Accounting data'!$J$2:$J$37000,"27*",'Accounting data'!$K$2:$K$37000,"63*")+SUMIFS('Accounting data'!$G$2:$G$37000,'Accounting data'!$I$2:$I$37000,"9*",'Accounting data'!$J$2:$J$37000,"27*",'Accounting data'!$K$2:$K$37000,"63*")+SUMIFS('Accounting data'!$G$2:$G$37000,'Accounting data'!$I$2:$I$37000,"7*",'Accounting data'!$J$2:$J$37000,"27*",'Accounting data'!$K$2:$K$37000,"64*")+SUMIFS('Accounting data'!$G$2:$G$37000,'Accounting data'!$I$2:$I$37000,"8*",'Accounting data'!$J$2:$J$37000,"27*",'Accounting data'!$K$2:$K$37000,"64*")+SUMIFS('Accounting data'!$G$2:$G$37000,'Accounting data'!$I$2:$I$37000,"9*",'Accounting data'!$J$2:$J$37000,"27*",'Accounting data'!$K$2:$K$37000,"64*")+SUMIFS('Accounting data'!$G$2:$G$37000,'Accounting data'!$I$2:$I$37000,"7*",'Accounting data'!$J$2:$J$37000,"27*",'Accounting data'!$K$2:$K$37000,"65*")+SUMIFS('Accounting data'!$G$2:$G$37000,'Accounting data'!$I$2:$I$37000,"8*",'Accounting data'!$J$2:$J$37000,"27*",'Accounting data'!$K$2:$K$37000,"65*")+SUMIFS('Accounting data'!$G$2:$G$37000,'Accounting data'!$I$2:$I$37000,"9*",'Accounting data'!$J$2:$J$37000,"27*",'Accounting data'!$K$2:$K$37000,"65*")</f>
        <v>0</v>
      </c>
    </row>
    <row r="433" spans="1:5" x14ac:dyDescent="0.25">
      <c r="A433" s="526" t="s">
        <v>964</v>
      </c>
      <c r="B433" s="524" t="s">
        <v>965</v>
      </c>
      <c r="C433" s="524">
        <v>2700</v>
      </c>
      <c r="D433" s="524">
        <v>6300</v>
      </c>
      <c r="E433" s="525">
        <f>SUMIFS('Accounting data'!$G$2:$G$37000,'Accounting data'!$H$2:$H$37000,"9999*",'Accounting data'!$I$2:$I$37000,"7*",'Accounting data'!$J$2:$J$37000,"27*",'Accounting data'!$K$2:$K$37000,"63*")+SUMIFS('Accounting data'!$G$2:$G$37000,'Accounting data'!$H$2:$H$37000,"9999*",'Accounting data'!$I$2:$I$37000,"8*",'Accounting data'!$J$2:$J$37000,"27*",'Accounting data'!$K$2:$K$37000,"63*")+SUMIFS('Accounting data'!$G$2:$G$37000,'Accounting data'!$H$2:$H$37000,"9999*",'Accounting data'!$I$2:$I$37000,"9*",'Accounting data'!$J$2:$J$37000,"27*",'Accounting data'!$K$2:$K$37000,"63*")</f>
        <v>0</v>
      </c>
    </row>
    <row r="434" spans="1:5" x14ac:dyDescent="0.25">
      <c r="A434" s="526" t="s">
        <v>964</v>
      </c>
      <c r="B434" s="524" t="s">
        <v>965</v>
      </c>
      <c r="C434" s="524">
        <v>2700</v>
      </c>
      <c r="D434" s="524">
        <v>6400</v>
      </c>
      <c r="E434" s="525">
        <f>SUMIFS('Accounting data'!$G$2:$G$37000,'Accounting data'!$H$2:$H$37000,"9999*",'Accounting data'!$I$2:$I$37000,"7*",'Accounting data'!$J$2:$J$37000,"27*",'Accounting data'!$K$2:$K$37000,"64*")+SUMIFS('Accounting data'!$G$2:$G$37000,'Accounting data'!$H$2:$H$37000,"9999*",'Accounting data'!$I$2:$I$37000,"8*",'Accounting data'!$J$2:$J$37000,"27*",'Accounting data'!$K$2:$K$37000,"64*")+SUMIFS('Accounting data'!$G$2:$G$37000,'Accounting data'!$H$2:$H$37000,"9999*",'Accounting data'!$I$2:$I$37000,"9*",'Accounting data'!$J$2:$J$37000,"27*",'Accounting data'!$K$2:$K$37000,"64*")</f>
        <v>0</v>
      </c>
    </row>
    <row r="435" spans="1:5" x14ac:dyDescent="0.25">
      <c r="A435" s="526" t="s">
        <v>964</v>
      </c>
      <c r="B435" s="524" t="s">
        <v>965</v>
      </c>
      <c r="C435" s="524">
        <v>2700</v>
      </c>
      <c r="D435" s="524">
        <v>6500</v>
      </c>
      <c r="E435" s="525">
        <f>SUMIFS('Accounting data'!$G$2:$G$37000,'Accounting data'!$H$2:$H$37000,"9999*",'Accounting data'!$I$2:$I$37000,"7*",'Accounting data'!$J$2:$J$37000,"27*",'Accounting data'!$K$2:$K$37000,"65*")+SUMIFS('Accounting data'!$G$2:$G$37000,'Accounting data'!$H$2:$H$37000,"9999*",'Accounting data'!$I$2:$I$37000,"8*",'Accounting data'!$J$2:$J$37000,"27*",'Accounting data'!$K$2:$K$37000,"65*")+SUMIFS('Accounting data'!$G$2:$G$37000,'Accounting data'!$H$2:$H$37000,"9999*",'Accounting data'!$I$2:$I$37000,"9*",'Accounting data'!$J$2:$J$37000,"27*",'Accounting data'!$K$2:$K$37000,"65*")</f>
        <v>0</v>
      </c>
    </row>
    <row r="454" spans="1:5" x14ac:dyDescent="0.25">
      <c r="A454" s="527" t="s">
        <v>1004</v>
      </c>
      <c r="B454" s="527"/>
      <c r="C454" s="527"/>
      <c r="D454" s="527"/>
      <c r="E454" s="529">
        <f>((E428-E429-E430-E431-E432)+(E433+E434+E435+E436+E437+E438+E439+E440+E441))-((E442-E443-E444)+(E445+E446+E447))-((E448-E449-E450)+(E451+E452+E453))</f>
        <v>0</v>
      </c>
    </row>
    <row r="455" spans="1:5" x14ac:dyDescent="0.25">
      <c r="A455" s="524" t="s">
        <v>963</v>
      </c>
      <c r="B455" s="524" t="s">
        <v>963</v>
      </c>
      <c r="C455" s="524">
        <v>3100</v>
      </c>
      <c r="D455" s="533" t="s">
        <v>995</v>
      </c>
      <c r="E455" s="525">
        <f>SUMIFS('Accounting data'!$G$2:$G$37000,'Accounting data'!$J$2:$J$37000,"31*",'Accounting data'!$K$2:$K$37000,"63*")+SUMIFS('Accounting data'!$G$2:$G$37000,'Accounting data'!$J$2:$J$37000,"31*",'Accounting data'!$K$2:$K$37000,"64*")+SUMIFS('Accounting data'!$G$2:$G$37000,'Accounting data'!$J$2:$J$37000,"31*",'Accounting data'!$K$2:$K$37000,"65*")</f>
        <v>109514</v>
      </c>
    </row>
    <row r="456" spans="1:5" x14ac:dyDescent="0.25">
      <c r="A456" s="524" t="s">
        <v>964</v>
      </c>
      <c r="B456" s="524" t="s">
        <v>963</v>
      </c>
      <c r="C456" s="524">
        <v>3100</v>
      </c>
      <c r="D456" s="524">
        <v>6300</v>
      </c>
      <c r="E456" s="525">
        <f>SUMIFS('Accounting data'!$G$2:$G$37000,'Accounting data'!$H$2:$H$37000,"9999*",'Accounting data'!$J$2:$J$37000,"31*",'Accounting data'!$K$2:$K$37000,"63*")</f>
        <v>0</v>
      </c>
    </row>
    <row r="457" spans="1:5" x14ac:dyDescent="0.25">
      <c r="A457" s="524" t="s">
        <v>964</v>
      </c>
      <c r="B457" s="524" t="s">
        <v>963</v>
      </c>
      <c r="C457" s="524">
        <v>3100</v>
      </c>
      <c r="D457" s="524">
        <v>6400</v>
      </c>
      <c r="E457" s="525">
        <f>SUMIFS('Accounting data'!$G$2:$G$37000,'Accounting data'!$H$2:$H$37000,"9999*",'Accounting data'!$J$2:$J$37000,"31*",'Accounting data'!$K$2:$K$37000,"64*")</f>
        <v>0</v>
      </c>
    </row>
    <row r="458" spans="1:5" x14ac:dyDescent="0.25">
      <c r="A458" s="524" t="s">
        <v>964</v>
      </c>
      <c r="B458" s="524" t="s">
        <v>963</v>
      </c>
      <c r="C458" s="524">
        <v>3100</v>
      </c>
      <c r="D458" s="524">
        <v>6500</v>
      </c>
      <c r="E458" s="525">
        <f>SUMIFS('Accounting data'!$G$2:$G$37000,'Accounting data'!$H$2:$H$37000,"9999*",'Accounting data'!$J$2:$J$37000,"31*",'Accounting data'!$K$2:$K$37000,"65*")</f>
        <v>0</v>
      </c>
    </row>
    <row r="459" spans="1:5" x14ac:dyDescent="0.25">
      <c r="A459" s="524" t="s">
        <v>963</v>
      </c>
      <c r="B459" s="524" t="s">
        <v>965</v>
      </c>
      <c r="C459" s="524">
        <v>3100</v>
      </c>
      <c r="D459" s="533" t="s">
        <v>995</v>
      </c>
      <c r="E459" s="525">
        <f>SUMIFS('Accounting data'!$G$2:$G$37000,'Accounting data'!$I$2:$I$37000,"7*",'Accounting data'!$J$2:$J$37000,"31*",'Accounting data'!$K$2:$K$37000,"63*")+SUMIFS('Accounting data'!$G$2:$G$37000,'Accounting data'!$I$2:$I$37000,"8*",'Accounting data'!$J$2:$J$37000,"31*",'Accounting data'!$K$2:$K$37000,"63*")+SUMIFS('Accounting data'!$G$2:$G$37000,'Accounting data'!$I$2:$I$37000,"9*",'Accounting data'!$J$2:$J$37000,"31*",'Accounting data'!$K$2:$K$37000,"63*")+SUMIFS('Accounting data'!$G$2:$G$37000,'Accounting data'!$I$2:$I$37000,"7*",'Accounting data'!$J$2:$J$37000,"31*",'Accounting data'!$K$2:$K$37000,"64*")+SUMIFS('Accounting data'!$G$2:$G$37000,'Accounting data'!$I$2:$I$37000,"8*",'Accounting data'!$J$2:$J$37000,"31*",'Accounting data'!$K$2:$K$37000,"64*")+SUMIFS('Accounting data'!$G$2:$G$37000,'Accounting data'!$I$2:$I$37000,"9*",'Accounting data'!$J$2:$J$37000,"31*",'Accounting data'!$K$2:$K$37000,"64*")+SUMIFS('Accounting data'!$G$2:$G$37000,'Accounting data'!$I$2:$I$37000,"7*",'Accounting data'!$J$2:$J$37000,"31*",'Accounting data'!$K$2:$K$37000,"65*")+SUMIFS('Accounting data'!$G$2:$G$37000,'Accounting data'!$I$2:$I$37000,"8*",'Accounting data'!$J$2:$J$37000,"31*",'Accounting data'!$K$2:$K$37000,"65*")+SUMIFS('Accounting data'!$G$2:$G$37000,'Accounting data'!$I$2:$I$37000,"9*",'Accounting data'!$J$2:$J$37000,"31*",'Accounting data'!$K$2:$K$37000,"65*")</f>
        <v>0</v>
      </c>
    </row>
    <row r="460" spans="1:5" x14ac:dyDescent="0.25">
      <c r="A460" s="526" t="s">
        <v>964</v>
      </c>
      <c r="B460" s="524" t="s">
        <v>965</v>
      </c>
      <c r="C460" s="524">
        <v>3100</v>
      </c>
      <c r="D460" s="524">
        <v>6300</v>
      </c>
      <c r="E460" s="525">
        <f>SUMIFS('Accounting data'!$G$2:$G$37000,'Accounting data'!$H$2:$H$37000,"9999*",'Accounting data'!$I$2:$I$37000,"7*",'Accounting data'!$J$2:$J$37000,"31*",'Accounting data'!$K$2:$K$37000,"63*")+SUMIFS('Accounting data'!$G$2:$G$37000,'Accounting data'!$H$2:$H$37000,"9999*",'Accounting data'!$I$2:$I$37000,"8*",'Accounting data'!$J$2:$J$37000,"31*",'Accounting data'!$K$2:$K$37000,"63*")+SUMIFS('Accounting data'!$G$2:$G$37000,'Accounting data'!$H$2:$H$37000,"9999*",'Accounting data'!$I$2:$I$37000,"9*",'Accounting data'!$J$2:$J$37000,"31*",'Accounting data'!$K$2:$K$37000,"63*")</f>
        <v>0</v>
      </c>
    </row>
    <row r="461" spans="1:5" x14ac:dyDescent="0.25">
      <c r="A461" s="526" t="s">
        <v>964</v>
      </c>
      <c r="B461" s="524" t="s">
        <v>965</v>
      </c>
      <c r="C461" s="524">
        <v>3100</v>
      </c>
      <c r="D461" s="524">
        <v>6400</v>
      </c>
      <c r="E461" s="525">
        <f>SUMIFS('Accounting data'!$G$2:$G$37000,'Accounting data'!$H$2:$H$37000,"9999*",'Accounting data'!$I$2:$I$37000,"7*",'Accounting data'!$J$2:$J$37000,"31*",'Accounting data'!$K$2:$K$37000,"64*")+SUMIFS('Accounting data'!$G$2:$G$37000,'Accounting data'!$H$2:$H$37000,"9999*",'Accounting data'!$I$2:$I$37000,"8*",'Accounting data'!$J$2:$J$37000,"31*",'Accounting data'!$K$2:$K$37000,"64*")+SUMIFS('Accounting data'!$G$2:$G$37000,'Accounting data'!$H$2:$H$37000,"9999*",'Accounting data'!$I$2:$I$37000,"9*",'Accounting data'!$J$2:$J$37000,"31*",'Accounting data'!$K$2:$K$37000,"64*")</f>
        <v>0</v>
      </c>
    </row>
    <row r="462" spans="1:5" x14ac:dyDescent="0.25">
      <c r="A462" s="526" t="s">
        <v>964</v>
      </c>
      <c r="B462" s="524" t="s">
        <v>965</v>
      </c>
      <c r="C462" s="524">
        <v>3100</v>
      </c>
      <c r="D462" s="524">
        <v>6500</v>
      </c>
      <c r="E462" s="525">
        <f>SUMIFS('Accounting data'!$G$2:$G$37000,'Accounting data'!$H$2:$H$37000,"9999*",'Accounting data'!$I$2:$I$37000,"7*",'Accounting data'!$J$2:$J$37000,"31*",'Accounting data'!$K$2:$K$37000,"65*")+SUMIFS('Accounting data'!$G$2:$G$37000,'Accounting data'!$H$2:$H$37000,"9999*",'Accounting data'!$I$2:$I$37000,"8*",'Accounting data'!$J$2:$J$37000,"31*",'Accounting data'!$K$2:$K$37000,"65*")+SUMIFS('Accounting data'!$G$2:$G$37000,'Accounting data'!$H$2:$H$37000,"9999*",'Accounting data'!$I$2:$I$37000,"9*",'Accounting data'!$J$2:$J$37000,"31*",'Accounting data'!$K$2:$K$37000,"65*")</f>
        <v>0</v>
      </c>
    </row>
    <row r="481" spans="1:5" x14ac:dyDescent="0.25">
      <c r="A481" s="527" t="s">
        <v>1005</v>
      </c>
      <c r="B481" s="527"/>
      <c r="C481" s="527"/>
      <c r="D481" s="527"/>
      <c r="E481" s="529">
        <f>((E455-E456-E457-E458-E459)+(E460+E461+E462+E463+E464+E465+E466+E467+E468))-((E469-E470-E471)+(E472+E473+E474))-((E475-E476-E477)+(E478+E479+E480))</f>
        <v>109514</v>
      </c>
    </row>
    <row r="509" spans="1:5" x14ac:dyDescent="0.25">
      <c r="A509" s="524" t="s">
        <v>963</v>
      </c>
      <c r="B509" s="524" t="s">
        <v>963</v>
      </c>
      <c r="C509" s="524">
        <v>3400</v>
      </c>
      <c r="D509" s="533" t="s">
        <v>995</v>
      </c>
      <c r="E509" s="525">
        <f>SUMIFS('Accounting data'!$G$2:$G$37000,'Accounting data'!$J$2:$J$37000,"34*",'Accounting data'!$K$2:$K$37000,"63*")+SUMIFS('Accounting data'!$G$2:$G$37000,'Accounting data'!$J$2:$J$37000,"34*",'Accounting data'!$K$2:$K$37000,"64*")+SUMIFS('Accounting data'!$G$2:$G$37000,'Accounting data'!$J$2:$J$37000,"34*",'Accounting data'!$K$2:$K$37000,"65*")</f>
        <v>0</v>
      </c>
    </row>
    <row r="510" spans="1:5" x14ac:dyDescent="0.25">
      <c r="A510" s="524" t="s">
        <v>964</v>
      </c>
      <c r="B510" s="524" t="s">
        <v>963</v>
      </c>
      <c r="C510" s="524">
        <v>3400</v>
      </c>
      <c r="D510" s="524">
        <v>6300</v>
      </c>
      <c r="E510" s="525">
        <f>SUMIFS('Accounting data'!$G$2:$G$37000,'Accounting data'!$H$2:$H$37000,"9999*",'Accounting data'!$J$2:$J$37000,"34*",'Accounting data'!$K$2:$K$37000,"63*")</f>
        <v>0</v>
      </c>
    </row>
    <row r="511" spans="1:5" x14ac:dyDescent="0.25">
      <c r="A511" s="524" t="s">
        <v>964</v>
      </c>
      <c r="B511" s="524" t="s">
        <v>963</v>
      </c>
      <c r="C511" s="524">
        <v>3400</v>
      </c>
      <c r="D511" s="524">
        <v>6400</v>
      </c>
      <c r="E511" s="525">
        <f>SUMIFS('Accounting data'!$G$2:$G$37000,'Accounting data'!$H$2:$H$37000,"9999*",'Accounting data'!$J$2:$J$37000,"34*",'Accounting data'!$K$2:$K$37000,"64*")</f>
        <v>0</v>
      </c>
    </row>
    <row r="512" spans="1:5" x14ac:dyDescent="0.25">
      <c r="A512" s="524" t="s">
        <v>964</v>
      </c>
      <c r="B512" s="524" t="s">
        <v>963</v>
      </c>
      <c r="C512" s="524">
        <v>3400</v>
      </c>
      <c r="D512" s="524">
        <v>6500</v>
      </c>
      <c r="E512" s="525">
        <f>SUMIFS('Accounting data'!$G$2:$G$37000,'Accounting data'!$H$2:$H$37000,"9999*",'Accounting data'!$J$2:$J$37000,"34*",'Accounting data'!$K$2:$K$37000,"65*")</f>
        <v>0</v>
      </c>
    </row>
    <row r="513" spans="1:5" x14ac:dyDescent="0.25">
      <c r="A513" s="524" t="s">
        <v>963</v>
      </c>
      <c r="B513" s="524" t="s">
        <v>965</v>
      </c>
      <c r="C513" s="524">
        <v>3400</v>
      </c>
      <c r="D513" s="533" t="s">
        <v>995</v>
      </c>
      <c r="E513" s="525">
        <f>SUMIFS('Accounting data'!$G$2:$G$37000,'Accounting data'!$I$2:$I$37000,"7*",'Accounting data'!$J$2:$J$37000,"34*",'Accounting data'!$K$2:$K$37000,"63*")+SUMIFS('Accounting data'!$G$2:$G$37000,'Accounting data'!$I$2:$I$37000,"8*",'Accounting data'!$J$2:$J$37000,"34*",'Accounting data'!$K$2:$K$37000,"63*")+SUMIFS('Accounting data'!$G$2:$G$37000,'Accounting data'!$I$2:$I$37000,"9*",'Accounting data'!$J$2:$J$37000,"34*",'Accounting data'!$K$2:$K$37000,"63*")+SUMIFS('Accounting data'!$G$2:$G$37000,'Accounting data'!$I$2:$I$37000,"7*",'Accounting data'!$J$2:$J$37000,"34*",'Accounting data'!$K$2:$K$37000,"64*")+SUMIFS('Accounting data'!$G$2:$G$37000,'Accounting data'!$I$2:$I$37000,"8*",'Accounting data'!$J$2:$J$37000,"34*",'Accounting data'!$K$2:$K$37000,"64*")+SUMIFS('Accounting data'!$G$2:$G$37000,'Accounting data'!$I$2:$I$37000,"9*",'Accounting data'!$J$2:$J$37000,"34*",'Accounting data'!$K$2:$K$37000,"64*")+SUMIFS('Accounting data'!$G$2:$G$37000,'Accounting data'!$I$2:$I$37000,"7*",'Accounting data'!$J$2:$J$37000,"34*",'Accounting data'!$K$2:$K$37000,"65*")+SUMIFS('Accounting data'!$G$2:$G$37000,'Accounting data'!$I$2:$I$37000,"8*",'Accounting data'!$J$2:$J$37000,"34*",'Accounting data'!$K$2:$K$37000,"65*")+SUMIFS('Accounting data'!$G$2:$G$37000,'Accounting data'!$I$2:$I$37000,"9*",'Accounting data'!$J$2:$J$37000,"34*",'Accounting data'!$K$2:$K$37000,"65*")</f>
        <v>0</v>
      </c>
    </row>
    <row r="514" spans="1:5" x14ac:dyDescent="0.25">
      <c r="A514" s="526" t="s">
        <v>964</v>
      </c>
      <c r="B514" s="524" t="s">
        <v>965</v>
      </c>
      <c r="C514" s="524">
        <v>3400</v>
      </c>
      <c r="D514" s="524">
        <v>6300</v>
      </c>
      <c r="E514" s="525">
        <f>SUMIFS('Accounting data'!$G$2:$G$37000,'Accounting data'!$H$2:$H$37000,"9999*",'Accounting data'!$I$2:$I$37000,"7*",'Accounting data'!$J$2:$J$37000,"34*",'Accounting data'!$K$2:$K$37000,"63*")+SUMIFS('Accounting data'!$G$2:$G$37000,'Accounting data'!$H$2:$H$37000,"9999*",'Accounting data'!$I$2:$I$37000,"8*",'Accounting data'!$J$2:$J$37000,"34*",'Accounting data'!$K$2:$K$37000,"63*")+SUMIFS('Accounting data'!$G$2:$G$37000,'Accounting data'!$H$2:$H$37000,"9999*",'Accounting data'!$I$2:$I$37000,"9*",'Accounting data'!$J$2:$J$37000,"34*",'Accounting data'!$K$2:$K$37000,"63*")</f>
        <v>0</v>
      </c>
    </row>
    <row r="515" spans="1:5" x14ac:dyDescent="0.25">
      <c r="A515" s="526" t="s">
        <v>964</v>
      </c>
      <c r="B515" s="524" t="s">
        <v>965</v>
      </c>
      <c r="C515" s="524">
        <v>3400</v>
      </c>
      <c r="D515" s="524">
        <v>6400</v>
      </c>
      <c r="E515" s="525">
        <f>SUMIFS('Accounting data'!$G$2:$G$37000,'Accounting data'!$H$2:$H$37000,"9999*",'Accounting data'!$I$2:$I$37000,"7*",'Accounting data'!$J$2:$J$37000,"34*",'Accounting data'!$K$2:$K$37000,"64*")+SUMIFS('Accounting data'!$G$2:$G$37000,'Accounting data'!$H$2:$H$37000,"9999*",'Accounting data'!$I$2:$I$37000,"8*",'Accounting data'!$J$2:$J$37000,"34*",'Accounting data'!$K$2:$K$37000,"64*")+SUMIFS('Accounting data'!$G$2:$G$37000,'Accounting data'!$H$2:$H$37000,"9999*",'Accounting data'!$I$2:$I$37000,"9*",'Accounting data'!$J$2:$J$37000,"34*",'Accounting data'!$K$2:$K$37000,"64*")</f>
        <v>0</v>
      </c>
    </row>
    <row r="516" spans="1:5" x14ac:dyDescent="0.25">
      <c r="A516" s="526" t="s">
        <v>964</v>
      </c>
      <c r="B516" s="524" t="s">
        <v>965</v>
      </c>
      <c r="C516" s="524">
        <v>3400</v>
      </c>
      <c r="D516" s="524">
        <v>6500</v>
      </c>
      <c r="E516" s="525">
        <f>SUMIFS('Accounting data'!$G$2:$G$37000,'Accounting data'!$H$2:$H$37000,"9999*",'Accounting data'!$I$2:$I$37000,"7*",'Accounting data'!$J$2:$J$37000,"34*",'Accounting data'!$K$2:$K$37000,"65*")+SUMIFS('Accounting data'!$G$2:$G$37000,'Accounting data'!$H$2:$H$37000,"9999*",'Accounting data'!$I$2:$I$37000,"8*",'Accounting data'!$J$2:$J$37000,"34*",'Accounting data'!$K$2:$K$37000,"65*")+SUMIFS('Accounting data'!$G$2:$G$37000,'Accounting data'!$H$2:$H$37000,"9999*",'Accounting data'!$I$2:$I$37000,"9*",'Accounting data'!$J$2:$J$37000,"34*",'Accounting data'!$K$2:$K$37000,"65*")</f>
        <v>0</v>
      </c>
    </row>
    <row r="535" spans="1:5" x14ac:dyDescent="0.25">
      <c r="A535" s="527" t="s">
        <v>1006</v>
      </c>
      <c r="B535" s="527"/>
      <c r="C535" s="527"/>
      <c r="D535" s="527"/>
      <c r="E535" s="529">
        <f>((E509-E510-E511-E512-E513)+(E514+E515+E516+E517+E518+E519+E520+E521+E522))-((E523-E524-E525)+(E526+E527+E528))-((E529-E530-E531)+(E532+E533+E534))</f>
        <v>0</v>
      </c>
    </row>
    <row r="536" spans="1:5" x14ac:dyDescent="0.25">
      <c r="A536" s="524" t="s">
        <v>963</v>
      </c>
      <c r="B536" s="524" t="s">
        <v>963</v>
      </c>
      <c r="C536" s="524">
        <v>4000</v>
      </c>
      <c r="D536" s="533" t="s">
        <v>995</v>
      </c>
      <c r="E536" s="525">
        <f>SUMIFS('Accounting data'!$G$2:$G$37000,'Accounting data'!$J$2:$J$37000,"4*",'Accounting data'!$K$2:$K$37000,"63*")+SUMIFS('Accounting data'!$G$2:$G$37000,'Accounting data'!$J$2:$J$37000,"4*",'Accounting data'!$K$2:$K$37000,"64*")+SUMIFS('Accounting data'!$G$2:$G$37000,'Accounting data'!$J$2:$J$37000,"4*",'Accounting data'!$K$2:$K$37000,"65*")</f>
        <v>0</v>
      </c>
    </row>
    <row r="537" spans="1:5" x14ac:dyDescent="0.25">
      <c r="A537" s="524" t="s">
        <v>964</v>
      </c>
      <c r="B537" s="524" t="s">
        <v>963</v>
      </c>
      <c r="C537" s="524">
        <v>4000</v>
      </c>
      <c r="D537" s="524">
        <v>6300</v>
      </c>
      <c r="E537" s="525">
        <f>SUMIFS('Accounting data'!$G$2:$G$37000,'Accounting data'!$H$2:$H$37000,"9999*",'Accounting data'!$J$2:$J$37000,"4*",'Accounting data'!$K$2:$K$37000,"63*")</f>
        <v>0</v>
      </c>
    </row>
    <row r="538" spans="1:5" x14ac:dyDescent="0.25">
      <c r="A538" s="524" t="s">
        <v>964</v>
      </c>
      <c r="B538" s="524" t="s">
        <v>963</v>
      </c>
      <c r="C538" s="524">
        <v>4000</v>
      </c>
      <c r="D538" s="524">
        <v>6400</v>
      </c>
      <c r="E538" s="525">
        <f>SUMIFS('Accounting data'!$G$2:$G$37000,'Accounting data'!$H$2:$H$37000,"9999*",'Accounting data'!$J$2:$J$37000,"4*",'Accounting data'!$K$2:$K$37000,"64*")</f>
        <v>0</v>
      </c>
    </row>
    <row r="539" spans="1:5" x14ac:dyDescent="0.25">
      <c r="A539" s="524" t="s">
        <v>964</v>
      </c>
      <c r="B539" s="524" t="s">
        <v>963</v>
      </c>
      <c r="C539" s="524">
        <v>4000</v>
      </c>
      <c r="D539" s="524">
        <v>6500</v>
      </c>
      <c r="E539" s="525">
        <f>SUMIFS('Accounting data'!$G$2:$G$37000,'Accounting data'!$H$2:$H$37000,"9999*",'Accounting data'!$J$2:$J$37000,"4*",'Accounting data'!$K$2:$K$37000,"65*")</f>
        <v>0</v>
      </c>
    </row>
    <row r="540" spans="1:5" x14ac:dyDescent="0.25">
      <c r="A540" s="524" t="s">
        <v>963</v>
      </c>
      <c r="B540" s="524" t="s">
        <v>965</v>
      </c>
      <c r="C540" s="524">
        <v>4000</v>
      </c>
      <c r="D540" s="533" t="s">
        <v>995</v>
      </c>
      <c r="E540" s="525">
        <f>SUMIFS('Accounting data'!$G$2:$G$37000,'Accounting data'!$I$2:$I$37000,"7*",'Accounting data'!$J$2:$J$37000,"4*",'Accounting data'!$K$2:$K$37000,"63*")+SUMIFS('Accounting data'!$G$2:$G$37000,'Accounting data'!$I$2:$I$37000,"8*",'Accounting data'!$J$2:$J$37000,"4*",'Accounting data'!$K$2:$K$37000,"63*")+SUMIFS('Accounting data'!$G$2:$G$37000,'Accounting data'!$I$2:$I$37000,"9*",'Accounting data'!$J$2:$J$37000,"4*",'Accounting data'!$K$2:$K$37000,"63*")+SUMIFS('Accounting data'!$G$2:$G$37000,'Accounting data'!$I$2:$I$37000,"7*",'Accounting data'!$J$2:$J$37000,"4*",'Accounting data'!$K$2:$K$37000,"64*")+SUMIFS('Accounting data'!$G$2:$G$37000,'Accounting data'!$I$2:$I$37000,"8*",'Accounting data'!$J$2:$J$37000,"4*",'Accounting data'!$K$2:$K$37000,"64*")+SUMIFS('Accounting data'!$G$2:$G$37000,'Accounting data'!$I$2:$I$37000,"9*",'Accounting data'!$J$2:$J$37000,"4*",'Accounting data'!$K$2:$K$37000,"64*")+SUMIFS('Accounting data'!$G$2:$G$37000,'Accounting data'!$I$2:$I$37000,"7*",'Accounting data'!$J$2:$J$37000,"4*",'Accounting data'!$K$2:$K$37000,"65*")+SUMIFS('Accounting data'!$G$2:$G$37000,'Accounting data'!$I$2:$I$37000,"8*",'Accounting data'!$J$2:$J$37000,"4*",'Accounting data'!$K$2:$K$37000,"65*")+SUMIFS('Accounting data'!$G$2:$G$37000,'Accounting data'!$I$2:$I$37000,"9*",'Accounting data'!$J$2:$J$37000,"4*",'Accounting data'!$K$2:$K$37000,"65*")</f>
        <v>0</v>
      </c>
    </row>
    <row r="541" spans="1:5" x14ac:dyDescent="0.25">
      <c r="A541" s="526" t="s">
        <v>964</v>
      </c>
      <c r="B541" s="524" t="s">
        <v>965</v>
      </c>
      <c r="C541" s="524">
        <v>4000</v>
      </c>
      <c r="D541" s="524">
        <v>6300</v>
      </c>
      <c r="E541" s="525">
        <f>SUMIFS('Accounting data'!$G$2:$G$37000,'Accounting data'!$H$2:$H$37000,"9999*",'Accounting data'!$I$2:$I$37000,"7*",'Accounting data'!$J$2:$J$37000,"4*",'Accounting data'!$K$2:$K$37000,"63*")+SUMIFS('Accounting data'!$G$2:$G$37000,'Accounting data'!$H$2:$H$37000,"9999*",'Accounting data'!$I$2:$I$37000,"8*",'Accounting data'!$J$2:$J$37000,"4*",'Accounting data'!$K$2:$K$37000,"63*")+SUMIFS('Accounting data'!$G$2:$G$37000,'Accounting data'!$H$2:$H$37000,"9999*",'Accounting data'!$I$2:$I$37000,"9*",'Accounting data'!$J$2:$J$37000,"4*",'Accounting data'!$K$2:$K$37000,"63*")</f>
        <v>0</v>
      </c>
    </row>
    <row r="542" spans="1:5" x14ac:dyDescent="0.25">
      <c r="A542" s="526" t="s">
        <v>964</v>
      </c>
      <c r="B542" s="524" t="s">
        <v>965</v>
      </c>
      <c r="C542" s="524">
        <v>4000</v>
      </c>
      <c r="D542" s="524">
        <v>6400</v>
      </c>
      <c r="E542" s="525">
        <f>SUMIFS('Accounting data'!$G$2:$G$37000,'Accounting data'!$H$2:$H$37000,"9999*",'Accounting data'!$I$2:$I$37000,"7*",'Accounting data'!$J$2:$J$37000,"4*",'Accounting data'!$K$2:$K$37000,"64*")+SUMIFS('Accounting data'!$G$2:$G$37000,'Accounting data'!$H$2:$H$37000,"9999*",'Accounting data'!$I$2:$I$37000,"8*",'Accounting data'!$J$2:$J$37000,"4*",'Accounting data'!$K$2:$K$37000,"64*")+SUMIFS('Accounting data'!$G$2:$G$37000,'Accounting data'!$H$2:$H$37000,"9999*",'Accounting data'!$I$2:$I$37000,"9*",'Accounting data'!$J$2:$J$37000,"4*",'Accounting data'!$K$2:$K$37000,"64*")</f>
        <v>0</v>
      </c>
    </row>
    <row r="543" spans="1:5" x14ac:dyDescent="0.25">
      <c r="A543" s="526" t="s">
        <v>964</v>
      </c>
      <c r="B543" s="524" t="s">
        <v>965</v>
      </c>
      <c r="C543" s="524">
        <v>4000</v>
      </c>
      <c r="D543" s="524">
        <v>6500</v>
      </c>
      <c r="E543" s="525">
        <f>SUMIFS('Accounting data'!$G$2:$G$37000,'Accounting data'!$H$2:$H$37000,"9999*",'Accounting data'!$I$2:$I$37000,"7*",'Accounting data'!$J$2:$J$37000,"4*",'Accounting data'!$K$2:$K$37000,"65*")+SUMIFS('Accounting data'!$G$2:$G$37000,'Accounting data'!$H$2:$H$37000,"9999*",'Accounting data'!$I$2:$I$37000,"8*",'Accounting data'!$J$2:$J$37000,"4*",'Accounting data'!$K$2:$K$37000,"65*")+SUMIFS('Accounting data'!$G$2:$G$37000,'Accounting data'!$H$2:$H$37000,"9999*",'Accounting data'!$I$2:$I$37000,"9*",'Accounting data'!$J$2:$J$37000,"4*",'Accounting data'!$K$2:$K$37000,"65*")</f>
        <v>0</v>
      </c>
    </row>
    <row r="562" spans="1:5" x14ac:dyDescent="0.25">
      <c r="A562" s="527" t="s">
        <v>1007</v>
      </c>
      <c r="B562" s="527"/>
      <c r="C562" s="527"/>
      <c r="D562" s="527"/>
      <c r="E562" s="529">
        <f>((E536-E537-E538-E539-E540)+(E541+E542+E543+E544+E545+E546+E547+E548+E549))-((E550-E551-E552)+(E553+E554+E555))-((E556-E557-E558)+(E559+E560+E561))</f>
        <v>0</v>
      </c>
    </row>
    <row r="563" spans="1:5" x14ac:dyDescent="0.25">
      <c r="A563" s="530" t="s">
        <v>1008</v>
      </c>
      <c r="B563" s="530"/>
      <c r="C563" s="530"/>
      <c r="D563" s="530"/>
      <c r="E563" s="534">
        <f>E238+E265+E292+E319+E346+E373+E400+E427+E454+E481+E508+E535</f>
        <v>2161783</v>
      </c>
    </row>
    <row r="564" spans="1:5" ht="14.4" x14ac:dyDescent="0.3">
      <c r="A564" s="524" t="s">
        <v>979</v>
      </c>
      <c r="B564" s="524" t="s">
        <v>963</v>
      </c>
      <c r="C564" s="524">
        <v>1000</v>
      </c>
      <c r="D564" s="524">
        <v>6300</v>
      </c>
      <c r="E564" s="532">
        <f>SUMIFS('Accounting data'!$G$2:$G$37000,'Accounting data'!$H$2:$H$37000,"11*",'Accounting data'!$J$2:$J$37000,"1*",'Accounting data'!$K$2:$K$37000,"63*")+SUMIFS('Accounting data'!$G$2:$G$37000,'Accounting data'!$H$2:$H$37000,"12*",'Accounting data'!$J$2:$J$37000,"1*",'Accounting data'!$K$2:$K$37000,"63*")+SUMIFS('Accounting data'!$G$2:$G$37000,'Accounting data'!$H$2:$H$37000,"13*",'Accounting data'!$J$2:$J$37000,"1*",'Accounting data'!$K$2:$K$37000,"63*")</f>
        <v>69916</v>
      </c>
    </row>
    <row r="565" spans="1:5" ht="14.4" x14ac:dyDescent="0.3">
      <c r="A565" s="524" t="s">
        <v>979</v>
      </c>
      <c r="B565" s="524" t="s">
        <v>963</v>
      </c>
      <c r="C565" s="524">
        <v>2000</v>
      </c>
      <c r="D565" s="524">
        <v>6300</v>
      </c>
      <c r="E565" s="532">
        <f>SUMIFS('Accounting data'!$G$2:$G$37000,'Accounting data'!$H$2:$H$37000,"11*",'Accounting data'!$J$2:$J$37000,"2*",'Accounting data'!$K$2:$K$37000,"63*")+SUMIFS('Accounting data'!$G$2:$G$37000,'Accounting data'!$H$2:$H$37000,"12*",'Accounting data'!$J$2:$J$37000,"2*",'Accounting data'!$K$2:$K$37000,"63*")+SUMIFS('Accounting data'!$G$2:$G$37000,'Accounting data'!$H$2:$H$37000,"13*",'Accounting data'!$J$2:$J$37000,"2*",'Accounting data'!$K$2:$K$37000,"63*")</f>
        <v>0</v>
      </c>
    </row>
    <row r="566" spans="1:5" ht="14.4" x14ac:dyDescent="0.3">
      <c r="A566" s="524" t="s">
        <v>979</v>
      </c>
      <c r="B566" s="524" t="s">
        <v>963</v>
      </c>
      <c r="C566" s="524">
        <v>3000</v>
      </c>
      <c r="D566" s="524">
        <v>6300</v>
      </c>
      <c r="E566" s="532">
        <f>SUMIFS('Accounting data'!$G$2:$G$37000,'Accounting data'!$H$2:$H$37000,"11*",'Accounting data'!$J$2:$J$37000,"3*",'Accounting data'!$K$2:$K$37000,"63*")+SUMIFS('Accounting data'!$G$2:$G$37000,'Accounting data'!$H$2:$H$37000,"12*",'Accounting data'!$J$2:$J$37000,"3*",'Accounting data'!$K$2:$K$37000,"63*")+SUMIFS('Accounting data'!$G$2:$G$37000,'Accounting data'!$H$2:$H$37000,"13*",'Accounting data'!$J$2:$J$37000,"3*",'Accounting data'!$K$2:$K$37000,"63*")</f>
        <v>109514</v>
      </c>
    </row>
    <row r="567" spans="1:5" ht="14.4" x14ac:dyDescent="0.3">
      <c r="A567" s="524" t="s">
        <v>979</v>
      </c>
      <c r="B567" s="526">
        <v>700</v>
      </c>
      <c r="C567" s="524">
        <v>1000</v>
      </c>
      <c r="D567" s="524">
        <v>6300</v>
      </c>
      <c r="E567" s="532">
        <f>SUMIFS('Accounting data'!$G$2:$G$37000,'Accounting data'!$H$2:$H$37000,"11*",'Accounting data'!$I$2:$I$37000,"7*",'Accounting data'!$J$2:$J$37000,"1*",'Accounting data'!$K$2:$K$37000,"63*")+SUMIFS('Accounting data'!$G$2:$G$37000,'Accounting data'!$H$2:$H$37000,"12*",'Accounting data'!$I$2:$I$37000,"7*",'Accounting data'!$J$2:$J$37000,"1*",'Accounting data'!$K$2:$K$37000,"63*")+SUMIFS('Accounting data'!$G$2:$G$37000,'Accounting data'!$H$2:$H$37000,"13*",'Accounting data'!$I$2:$I$37000,"7*",'Accounting data'!$J$2:$J$37000,"1*",'Accounting data'!$K$2:$K$37000,"63*")</f>
        <v>0</v>
      </c>
    </row>
    <row r="568" spans="1:5" ht="14.4" x14ac:dyDescent="0.3">
      <c r="A568" s="524" t="s">
        <v>979</v>
      </c>
      <c r="B568" s="526">
        <v>800</v>
      </c>
      <c r="C568" s="524">
        <v>1000</v>
      </c>
      <c r="D568" s="524">
        <v>6300</v>
      </c>
      <c r="E568" s="532">
        <f>SUMIFS('Accounting data'!$G$2:$G$37000,'Accounting data'!$H$2:$H$37000,"11*",'Accounting data'!$I$2:$I$37000,"8*",'Accounting data'!$J$2:$J$37000,"1*",'Accounting data'!$K$2:$K$37000,"63*")+SUMIFS('Accounting data'!$G$2:$G$37000,'Accounting data'!$H$2:$H$37000,"12*",'Accounting data'!$I$2:$I$37000,"8*",'Accounting data'!$J$2:$J$37000,"1*",'Accounting data'!$K$2:$K$37000,"63*")+SUMIFS('Accounting data'!$G$2:$G$37000,'Accounting data'!$H$2:$H$37000,"13*",'Accounting data'!$I$2:$I$37000,"8*",'Accounting data'!$J$2:$J$37000,"1*",'Accounting data'!$K$2:$K$37000,"63*")</f>
        <v>0</v>
      </c>
    </row>
    <row r="569" spans="1:5" ht="14.4" x14ac:dyDescent="0.3">
      <c r="A569" s="524" t="s">
        <v>979</v>
      </c>
      <c r="B569" s="526">
        <v>900</v>
      </c>
      <c r="C569" s="524">
        <v>1000</v>
      </c>
      <c r="D569" s="524">
        <v>6300</v>
      </c>
      <c r="E569" s="532">
        <f>SUMIFS('Accounting data'!$G$2:$G$37000,'Accounting data'!$H$2:$H$37000,"11*",'Accounting data'!$I$2:$I$37000,"9*",'Accounting data'!$J$2:$J$37000,"1*",'Accounting data'!$K$2:$K$37000,"63*")+SUMIFS('Accounting data'!$G$2:$G$37000,'Accounting data'!$H$2:$H$37000,"12*",'Accounting data'!$I$2:$I$37000,"9*",'Accounting data'!$J$2:$J$37000,"1*",'Accounting data'!$K$2:$K$37000,"63*")+SUMIFS('Accounting data'!$G$2:$G$37000,'Accounting data'!$H$2:$H$37000,"13*",'Accounting data'!$I$2:$I$37000,"9*",'Accounting data'!$J$2:$J$37000,"1*",'Accounting data'!$K$2:$K$37000,"63*")</f>
        <v>0</v>
      </c>
    </row>
    <row r="570" spans="1:5" x14ac:dyDescent="0.25">
      <c r="A570" s="524" t="s">
        <v>979</v>
      </c>
      <c r="B570" s="526">
        <v>700</v>
      </c>
      <c r="C570" s="524">
        <v>2000</v>
      </c>
      <c r="D570" s="524">
        <v>6300</v>
      </c>
      <c r="E570" s="525">
        <f>SUMIFS('Accounting data'!$G$2:$G$37000,'Accounting data'!$H$2:$H$37000,"11*",'Accounting data'!$I$2:$I$37000,"7*",'Accounting data'!$J$2:$J$37000,"2*",'Accounting data'!$K$2:$K$37000,"63*")+SUMIFS('Accounting data'!$G$2:$G$37000,'Accounting data'!$H$2:$H$37000,"12*",'Accounting data'!$I$2:$I$37000,"7*",'Accounting data'!$J$2:$J$37000,"2*",'Accounting data'!$K$2:$K$37000,"63*")+SUMIFS('Accounting data'!$G$2:$G$37000,'Accounting data'!$H$2:$H$37000,"13*",'Accounting data'!$I$2:$I$37000,"7*",'Accounting data'!$J$2:$J$37000,"2*",'Accounting data'!$K$2:$K$37000,"63*")</f>
        <v>0</v>
      </c>
    </row>
    <row r="571" spans="1:5" x14ac:dyDescent="0.25">
      <c r="A571" s="524" t="s">
        <v>979</v>
      </c>
      <c r="B571" s="526">
        <v>800</v>
      </c>
      <c r="C571" s="524">
        <v>2000</v>
      </c>
      <c r="D571" s="524">
        <v>6300</v>
      </c>
      <c r="E571" s="525">
        <f>SUMIFS('Accounting data'!$G$2:$G$37000,'Accounting data'!$H$2:$H$37000,"11*",'Accounting data'!$I$2:$I$37000,"8*",'Accounting data'!$J$2:$J$37000,"2*",'Accounting data'!$K$2:$K$37000,"63*")+SUMIFS('Accounting data'!$G$2:$G$37000,'Accounting data'!$H$2:$H$37000,"12*",'Accounting data'!$I$2:$I$37000,"8*",'Accounting data'!$J$2:$J$37000,"2*",'Accounting data'!$K$2:$K$37000,"63*")+SUMIFS('Accounting data'!$G$2:$G$37000,'Accounting data'!$H$2:$H$37000,"13*",'Accounting data'!$I$2:$I$37000,"8*",'Accounting data'!$J$2:$J$37000,"2*",'Accounting data'!$K$2:$K$37000,"63*")</f>
        <v>0</v>
      </c>
    </row>
    <row r="572" spans="1:5" x14ac:dyDescent="0.25">
      <c r="A572" s="524" t="s">
        <v>979</v>
      </c>
      <c r="B572" s="526">
        <v>900</v>
      </c>
      <c r="C572" s="524">
        <v>2000</v>
      </c>
      <c r="D572" s="524">
        <v>6300</v>
      </c>
      <c r="E572" s="525">
        <f>SUMIFS('Accounting data'!$G$2:$G$37000,'Accounting data'!$H$2:$H$37000,"11*",'Accounting data'!$I$2:$I$37000,"9*",'Accounting data'!$J$2:$J$37000,"2*",'Accounting data'!$K$2:$K$37000,"63*")+SUMIFS('Accounting data'!$G$2:$G$37000,'Accounting data'!$H$2:$H$37000,"12*",'Accounting data'!$I$2:$I$37000,"9*",'Accounting data'!$J$2:$J$37000,"2*",'Accounting data'!$K$2:$K$37000,"63*")+SUMIFS('Accounting data'!$G$2:$G$37000,'Accounting data'!$H$2:$H$37000,"13*",'Accounting data'!$I$2:$I$37000,"9*",'Accounting data'!$J$2:$J$37000,"2*",'Accounting data'!$K$2:$K$37000,"63*")</f>
        <v>0</v>
      </c>
    </row>
    <row r="573" spans="1:5" x14ac:dyDescent="0.25">
      <c r="A573" s="524" t="s">
        <v>979</v>
      </c>
      <c r="B573" s="526">
        <v>700</v>
      </c>
      <c r="C573" s="524">
        <v>3000</v>
      </c>
      <c r="D573" s="524">
        <v>6300</v>
      </c>
      <c r="E573" s="525">
        <f>SUMIFS('Accounting data'!$G$2:$G$37000,'Accounting data'!$H$2:$H$37000,"11*",'Accounting data'!$I$2:$I$37000,"7*",'Accounting data'!$J$2:$J$37000,"3*",'Accounting data'!$K$2:$K$37000,"63*")+SUMIFS('Accounting data'!$G$2:$G$37000,'Accounting data'!$H$2:$H$37000,"12*",'Accounting data'!$I$2:$I$37000,"7*",'Accounting data'!$J$2:$J$37000,"3*",'Accounting data'!$K$2:$K$37000,"63*")+SUMIFS('Accounting data'!$G$2:$G$37000,'Accounting data'!$H$2:$H$37000,"13*",'Accounting data'!$I$2:$I$37000,"7*",'Accounting data'!$J$2:$J$37000,"3*",'Accounting data'!$K$2:$K$37000,"63*")</f>
        <v>0</v>
      </c>
    </row>
    <row r="574" spans="1:5" x14ac:dyDescent="0.25">
      <c r="A574" s="524" t="s">
        <v>979</v>
      </c>
      <c r="B574" s="526">
        <v>800</v>
      </c>
      <c r="C574" s="524">
        <v>3000</v>
      </c>
      <c r="D574" s="524">
        <v>6300</v>
      </c>
      <c r="E574" s="525">
        <f>SUMIFS('Accounting data'!$G$2:$G$37000,'Accounting data'!$H$2:$H$37000,"11*",'Accounting data'!$I$2:$I$37000,"8*",'Accounting data'!$J$2:$J$37000,"3*",'Accounting data'!$K$2:$K$37000,"63*")+SUMIFS('Accounting data'!$G$2:$G$37000,'Accounting data'!$H$2:$H$37000,"12*",'Accounting data'!$I$2:$I$37000,"8*",'Accounting data'!$J$2:$J$37000,"3*",'Accounting data'!$K$2:$K$37000,"63*")+SUMIFS('Accounting data'!$G$2:$G$37000,'Accounting data'!$H$2:$H$37000,"13*",'Accounting data'!$I$2:$I$37000,"8*",'Accounting data'!$J$2:$J$37000,"3*",'Accounting data'!$K$2:$K$37000,"63*")</f>
        <v>0</v>
      </c>
    </row>
    <row r="575" spans="1:5" x14ac:dyDescent="0.25">
      <c r="A575" s="524" t="s">
        <v>979</v>
      </c>
      <c r="B575" s="526">
        <v>900</v>
      </c>
      <c r="C575" s="524">
        <v>3000</v>
      </c>
      <c r="D575" s="524">
        <v>6300</v>
      </c>
      <c r="E575" s="525">
        <f>SUMIFS('Accounting data'!$G$2:$G$37000,'Accounting data'!$H$2:$H$37000,"11*",'Accounting data'!$I$2:$I$37000,"9*",'Accounting data'!$J$2:$J$37000,"3*",'Accounting data'!$K$2:$K$37000,"63*")+SUMIFS('Accounting data'!$G$2:$G$37000,'Accounting data'!$H$2:$H$37000,"12*",'Accounting data'!$I$2:$I$37000,"9*",'Accounting data'!$J$2:$J$37000,"3*",'Accounting data'!$K$2:$K$37000,"63*")+SUMIFS('Accounting data'!$G$2:$G$37000,'Accounting data'!$H$2:$H$37000,"13*",'Accounting data'!$I$2:$I$37000,"9*",'Accounting data'!$J$2:$J$37000,"3*",'Accounting data'!$K$2:$K$37000,"63*")</f>
        <v>0</v>
      </c>
    </row>
    <row r="576" spans="1:5" x14ac:dyDescent="0.25">
      <c r="A576" s="527" t="s">
        <v>1009</v>
      </c>
      <c r="B576" s="527"/>
      <c r="C576" s="527"/>
      <c r="D576" s="527"/>
      <c r="E576" s="529">
        <f>(E564+E565+E566)-(E567+E568+E569+E570+E571+E572+E573+E574+E575)</f>
        <v>179430</v>
      </c>
    </row>
    <row r="577" spans="1:5" x14ac:dyDescent="0.25">
      <c r="A577" s="524" t="s">
        <v>979</v>
      </c>
      <c r="B577" s="524" t="s">
        <v>963</v>
      </c>
      <c r="C577" s="524">
        <v>1000</v>
      </c>
      <c r="D577" s="524">
        <v>6400</v>
      </c>
      <c r="E577" s="525">
        <f>SUMIFS('Accounting data'!$G$2:$G$37000,'Accounting data'!$H$2:$H$37000,"11*",'Accounting data'!$J$2:$J$37000,"1*",'Accounting data'!$K$2:$K$37000,"64*")+SUMIFS('Accounting data'!$G$2:$G$37000,'Accounting data'!$H$2:$H$37000,"12*",'Accounting data'!$J$2:$J$37000,"1*",'Accounting data'!$K$2:$K$37000,"64*")+SUMIFS('Accounting data'!$G$2:$G$37000,'Accounting data'!$H$2:$H$37000,"13*",'Accounting data'!$J$2:$J$37000,"1*",'Accounting data'!$K$2:$K$37000,"64*")</f>
        <v>0</v>
      </c>
    </row>
    <row r="578" spans="1:5" x14ac:dyDescent="0.25">
      <c r="A578" s="524" t="s">
        <v>979</v>
      </c>
      <c r="B578" s="524" t="s">
        <v>963</v>
      </c>
      <c r="C578" s="524">
        <v>2000</v>
      </c>
      <c r="D578" s="524">
        <v>6400</v>
      </c>
      <c r="E578" s="525">
        <f>SUMIFS('Accounting data'!$G$2:$G$37000,'Accounting data'!$H$2:$H$37000,"11*",'Accounting data'!$J$2:$J$37000,"2*",'Accounting data'!$K$2:$K$37000,"64*")+SUMIFS('Accounting data'!$G$2:$G$37000,'Accounting data'!$H$2:$H$37000,"12*",'Accounting data'!$J$2:$J$37000,"2*",'Accounting data'!$K$2:$K$37000,"64*")+SUMIFS('Accounting data'!$G$2:$G$37000,'Accounting data'!$H$2:$H$37000,"13*",'Accounting data'!$J$2:$J$37000,"2*",'Accounting data'!$K$2:$K$37000,"64*")</f>
        <v>0</v>
      </c>
    </row>
    <row r="579" spans="1:5" x14ac:dyDescent="0.25">
      <c r="A579" s="524" t="s">
        <v>979</v>
      </c>
      <c r="B579" s="524" t="s">
        <v>963</v>
      </c>
      <c r="C579" s="524">
        <v>3000</v>
      </c>
      <c r="D579" s="524">
        <v>6400</v>
      </c>
      <c r="E579" s="525">
        <f>SUMIFS('Accounting data'!$G$2:$G$37000,'Accounting data'!$H$2:$H$37000,"11*",'Accounting data'!$J$2:$J$37000,"3*",'Accounting data'!$K$2:$K$37000,"64*")+SUMIFS('Accounting data'!$G$2:$G$37000,'Accounting data'!$H$2:$H$37000,"12*",'Accounting data'!$J$2:$J$37000,"3*",'Accounting data'!$K$2:$K$37000,"64*")+SUMIFS('Accounting data'!$G$2:$G$37000,'Accounting data'!$H$2:$H$37000,"13*",'Accounting data'!$J$2:$J$37000,"3*",'Accounting data'!$K$2:$K$37000,"64*")</f>
        <v>0</v>
      </c>
    </row>
    <row r="580" spans="1:5" x14ac:dyDescent="0.25">
      <c r="A580" s="524" t="s">
        <v>979</v>
      </c>
      <c r="B580" s="526">
        <v>700</v>
      </c>
      <c r="C580" s="524">
        <v>1000</v>
      </c>
      <c r="D580" s="524">
        <v>6400</v>
      </c>
      <c r="E580" s="525">
        <f>SUMIFS('Accounting data'!$G$2:$G$37000,'Accounting data'!$H$2:$H$37000,"11*",'Accounting data'!$I$2:$I$37000,"7*",'Accounting data'!$J$2:$J$37000,"1*",'Accounting data'!$K$2:$K$37000,"64*")+SUMIFS('Accounting data'!$G$2:$G$37000,'Accounting data'!$H$2:$H$37000,"12*",'Accounting data'!$I$2:$I$37000,"7*",'Accounting data'!$J$2:$J$37000,"1*",'Accounting data'!$K$2:$K$37000,"64*")+SUMIFS('Accounting data'!$G$2:$G$37000,'Accounting data'!$H$2:$H$37000,"13*",'Accounting data'!$I$2:$I$37000,"7*",'Accounting data'!$J$2:$J$37000,"1*",'Accounting data'!$K$2:$K$37000,"64*")</f>
        <v>0</v>
      </c>
    </row>
    <row r="581" spans="1:5" x14ac:dyDescent="0.25">
      <c r="A581" s="524" t="s">
        <v>979</v>
      </c>
      <c r="B581" s="526">
        <v>800</v>
      </c>
      <c r="C581" s="524">
        <v>1000</v>
      </c>
      <c r="D581" s="524">
        <v>6400</v>
      </c>
      <c r="E581" s="525">
        <f>SUMIFS('Accounting data'!$G$2:$G$37000,'Accounting data'!$H$2:$H$37000,"11*",'Accounting data'!$I$2:$I$37000,"8*",'Accounting data'!$J$2:$J$37000,"1*",'Accounting data'!$K$2:$K$37000,"64*")+SUMIFS('Accounting data'!$G$2:$G$37000,'Accounting data'!$H$2:$H$37000,"12*",'Accounting data'!$I$2:$I$37000,"8*",'Accounting data'!$J$2:$J$37000,"1*",'Accounting data'!$K$2:$K$37000,"64*")+SUMIFS('Accounting data'!$G$2:$G$37000,'Accounting data'!$H$2:$H$37000,"13*",'Accounting data'!$I$2:$I$37000,"8*",'Accounting data'!$J$2:$J$37000,"1*",'Accounting data'!$K$2:$K$37000,"64*")</f>
        <v>0</v>
      </c>
    </row>
    <row r="582" spans="1:5" x14ac:dyDescent="0.25">
      <c r="A582" s="524" t="s">
        <v>979</v>
      </c>
      <c r="B582" s="526">
        <v>900</v>
      </c>
      <c r="C582" s="524">
        <v>1000</v>
      </c>
      <c r="D582" s="524">
        <v>6400</v>
      </c>
      <c r="E582" s="525">
        <f>SUMIFS('Accounting data'!$G$2:$G$37000,'Accounting data'!$H$2:$H$37000,"11*",'Accounting data'!$I$2:$I$37000,"9*",'Accounting data'!$J$2:$J$37000,"1*",'Accounting data'!$K$2:$K$37000,"64*")+SUMIFS('Accounting data'!$G$2:$G$37000,'Accounting data'!$H$2:$H$37000,"12*",'Accounting data'!$I$2:$I$37000,"9*",'Accounting data'!$J$2:$J$37000,"1*",'Accounting data'!$K$2:$K$37000,"64*")+SUMIFS('Accounting data'!$G$2:$G$37000,'Accounting data'!$H$2:$H$37000,"13*",'Accounting data'!$I$2:$I$37000,"9*",'Accounting data'!$J$2:$J$37000,"1*",'Accounting data'!$K$2:$K$37000,"64*")</f>
        <v>0</v>
      </c>
    </row>
    <row r="583" spans="1:5" x14ac:dyDescent="0.25">
      <c r="A583" s="524" t="s">
        <v>979</v>
      </c>
      <c r="B583" s="526">
        <v>700</v>
      </c>
      <c r="C583" s="524">
        <v>2000</v>
      </c>
      <c r="D583" s="524">
        <v>6400</v>
      </c>
      <c r="E583" s="525">
        <f>SUMIFS('Accounting data'!$G$2:$G$37000,'Accounting data'!$H$2:$H$37000,"11*",'Accounting data'!$I$2:$I$37000,"7*",'Accounting data'!$J$2:$J$37000,"2*",'Accounting data'!$K$2:$K$37000,"64*")+SUMIFS('Accounting data'!$G$2:$G$37000,'Accounting data'!$H$2:$H$37000,"12*",'Accounting data'!$I$2:$I$37000,"7*",'Accounting data'!$J$2:$J$37000,"2*",'Accounting data'!$K$2:$K$37000,"64*")+SUMIFS('Accounting data'!$G$2:$G$37000,'Accounting data'!$H$2:$H$37000,"13*",'Accounting data'!$I$2:$I$37000,"7*",'Accounting data'!$J$2:$J$37000,"2*",'Accounting data'!$K$2:$K$37000,"64*")</f>
        <v>0</v>
      </c>
    </row>
    <row r="584" spans="1:5" x14ac:dyDescent="0.25">
      <c r="A584" s="524" t="s">
        <v>979</v>
      </c>
      <c r="B584" s="526">
        <v>800</v>
      </c>
      <c r="C584" s="524">
        <v>2000</v>
      </c>
      <c r="D584" s="524">
        <v>6400</v>
      </c>
      <c r="E584" s="525">
        <f>SUMIFS('Accounting data'!$G$2:$G$37000,'Accounting data'!$H$2:$H$37000,"11*",'Accounting data'!$I$2:$I$37000,"8*",'Accounting data'!$J$2:$J$37000,"2*",'Accounting data'!$K$2:$K$37000,"64*")+SUMIFS('Accounting data'!$G$2:$G$37000,'Accounting data'!$H$2:$H$37000,"12*",'Accounting data'!$I$2:$I$37000,"8*",'Accounting data'!$J$2:$J$37000,"2*",'Accounting data'!$K$2:$K$37000,"64*")+SUMIFS('Accounting data'!$G$2:$G$37000,'Accounting data'!$H$2:$H$37000,"13*",'Accounting data'!$I$2:$I$37000,"8*",'Accounting data'!$J$2:$J$37000,"2*",'Accounting data'!$K$2:$K$37000,"64*")</f>
        <v>0</v>
      </c>
    </row>
    <row r="585" spans="1:5" x14ac:dyDescent="0.25">
      <c r="A585" s="524" t="s">
        <v>979</v>
      </c>
      <c r="B585" s="526">
        <v>900</v>
      </c>
      <c r="C585" s="524">
        <v>2000</v>
      </c>
      <c r="D585" s="524">
        <v>6400</v>
      </c>
      <c r="E585" s="525">
        <f>SUMIFS('Accounting data'!$G$2:$G$37000,'Accounting data'!$H$2:$H$37000,"11*",'Accounting data'!$I$2:$I$37000,"9*",'Accounting data'!$J$2:$J$37000,"2*",'Accounting data'!$K$2:$K$37000,"64*")+SUMIFS('Accounting data'!$G$2:$G$37000,'Accounting data'!$H$2:$H$37000,"12*",'Accounting data'!$I$2:$I$37000,"9*",'Accounting data'!$J$2:$J$37000,"2*",'Accounting data'!$K$2:$K$37000,"64*")+SUMIFS('Accounting data'!$G$2:$G$37000,'Accounting data'!$H$2:$H$37000,"13*",'Accounting data'!$I$2:$I$37000,"9*",'Accounting data'!$J$2:$J$37000,"2*",'Accounting data'!$K$2:$K$37000,"64*")</f>
        <v>0</v>
      </c>
    </row>
    <row r="586" spans="1:5" x14ac:dyDescent="0.25">
      <c r="A586" s="524" t="s">
        <v>979</v>
      </c>
      <c r="B586" s="526">
        <v>700</v>
      </c>
      <c r="C586" s="524">
        <v>3000</v>
      </c>
      <c r="D586" s="524">
        <v>6400</v>
      </c>
      <c r="E586" s="525">
        <f>SUMIFS('Accounting data'!$G$2:$G$37000,'Accounting data'!$H$2:$H$37000,"11*",'Accounting data'!$I$2:$I$37000,"7*",'Accounting data'!$J$2:$J$37000,"3*",'Accounting data'!$K$2:$K$37000,"64*")+SUMIFS('Accounting data'!$G$2:$G$37000,'Accounting data'!$H$2:$H$37000,"12*",'Accounting data'!$I$2:$I$37000,"7*",'Accounting data'!$J$2:$J$37000,"3*",'Accounting data'!$K$2:$K$37000,"64*")+SUMIFS('Accounting data'!$G$2:$G$37000,'Accounting data'!$H$2:$H$37000,"13*",'Accounting data'!$I$2:$I$37000,"7*",'Accounting data'!$J$2:$J$37000,"3*",'Accounting data'!$K$2:$K$37000,"64*")</f>
        <v>0</v>
      </c>
    </row>
    <row r="587" spans="1:5" x14ac:dyDescent="0.25">
      <c r="A587" s="524" t="s">
        <v>979</v>
      </c>
      <c r="B587" s="526">
        <v>800</v>
      </c>
      <c r="C587" s="524">
        <v>3000</v>
      </c>
      <c r="D587" s="524">
        <v>6400</v>
      </c>
      <c r="E587" s="525">
        <f>SUMIFS('Accounting data'!$G$2:$G$37000,'Accounting data'!$H$2:$H$37000,"11*",'Accounting data'!$I$2:$I$37000,"8*",'Accounting data'!$J$2:$J$37000,"3*",'Accounting data'!$K$2:$K$37000,"64*")+SUMIFS('Accounting data'!$G$2:$G$37000,'Accounting data'!$H$2:$H$37000,"12*",'Accounting data'!$I$2:$I$37000,"8*",'Accounting data'!$J$2:$J$37000,"3*",'Accounting data'!$K$2:$K$37000,"64*")+SUMIFS('Accounting data'!$G$2:$G$37000,'Accounting data'!$H$2:$H$37000,"13*",'Accounting data'!$I$2:$I$37000,"8*",'Accounting data'!$J$2:$J$37000,"3*",'Accounting data'!$K$2:$K$37000,"64*")</f>
        <v>0</v>
      </c>
    </row>
    <row r="588" spans="1:5" x14ac:dyDescent="0.25">
      <c r="A588" s="524" t="s">
        <v>979</v>
      </c>
      <c r="B588" s="526">
        <v>900</v>
      </c>
      <c r="C588" s="524">
        <v>3000</v>
      </c>
      <c r="D588" s="524">
        <v>6400</v>
      </c>
      <c r="E588" s="525">
        <f>SUMIFS('Accounting data'!$G$2:$G$37000,'Accounting data'!$H$2:$H$37000,"11*",'Accounting data'!$I$2:$I$37000,"9*",'Accounting data'!$J$2:$J$37000,"3*",'Accounting data'!$K$2:$K$37000,"64*")+SUMIFS('Accounting data'!$G$2:$G$37000,'Accounting data'!$H$2:$H$37000,"12*",'Accounting data'!$I$2:$I$37000,"9*",'Accounting data'!$J$2:$J$37000,"3*",'Accounting data'!$K$2:$K$37000,"64*")+SUMIFS('Accounting data'!$G$2:$G$37000,'Accounting data'!$H$2:$H$37000,"13*",'Accounting data'!$I$2:$I$37000,"9*",'Accounting data'!$J$2:$J$37000,"3*",'Accounting data'!$K$2:$K$37000,"64*")</f>
        <v>0</v>
      </c>
    </row>
    <row r="589" spans="1:5" x14ac:dyDescent="0.25">
      <c r="A589" s="527" t="s">
        <v>1010</v>
      </c>
      <c r="B589" s="527"/>
      <c r="C589" s="527"/>
      <c r="D589" s="527"/>
      <c r="E589" s="529">
        <f>(E577+E578+E579)-(E580+E581+E582+E583+E584+E585+E586+E587+E588)</f>
        <v>0</v>
      </c>
    </row>
    <row r="590" spans="1:5" x14ac:dyDescent="0.25">
      <c r="A590" s="524" t="s">
        <v>979</v>
      </c>
      <c r="B590" s="524" t="s">
        <v>963</v>
      </c>
      <c r="C590" s="524">
        <v>1000</v>
      </c>
      <c r="D590" s="524">
        <v>6500</v>
      </c>
      <c r="E590" s="525">
        <f>SUMIFS('Accounting data'!$G$2:$G$37000,'Accounting data'!$H$2:$H$37000,"11*",'Accounting data'!$J$2:$J$37000,"1*",'Accounting data'!$K$2:$K$37000,"65*")+SUMIFS('Accounting data'!$G$2:$G$37000,'Accounting data'!$H$2:$H$37000,"12*",'Accounting data'!$J$2:$J$37000,"1*",'Accounting data'!$K$2:$K$37000,"65*")+SUMIFS('Accounting data'!$G$2:$G$37000,'Accounting data'!$H$2:$H$37000,"13*",'Accounting data'!$J$2:$J$37000,"1*",'Accounting data'!$K$2:$K$37000,"65*")</f>
        <v>0</v>
      </c>
    </row>
    <row r="591" spans="1:5" x14ac:dyDescent="0.25">
      <c r="A591" s="524" t="s">
        <v>979</v>
      </c>
      <c r="B591" s="524" t="s">
        <v>963</v>
      </c>
      <c r="C591" s="524">
        <v>2000</v>
      </c>
      <c r="D591" s="524">
        <v>6500</v>
      </c>
      <c r="E591" s="525">
        <f>SUMIFS('Accounting data'!$G$2:$G$37000,'Accounting data'!$H$2:$H$37000,"11*",'Accounting data'!$J$2:$J$37000,"2*",'Accounting data'!$K$2:$K$37000,"65*")+SUMIFS('Accounting data'!$G$2:$G$37000,'Accounting data'!$H$2:$H$37000,"12*",'Accounting data'!$J$2:$J$37000,"2*",'Accounting data'!$K$2:$K$37000,"65*")+SUMIFS('Accounting data'!$G$2:$G$37000,'Accounting data'!$H$2:$H$37000,"13*",'Accounting data'!$J$2:$J$37000,"2*",'Accounting data'!$K$2:$K$37000,"65*")</f>
        <v>0</v>
      </c>
    </row>
    <row r="592" spans="1:5" x14ac:dyDescent="0.25">
      <c r="A592" s="524" t="s">
        <v>979</v>
      </c>
      <c r="B592" s="524" t="s">
        <v>963</v>
      </c>
      <c r="C592" s="524">
        <v>3000</v>
      </c>
      <c r="D592" s="524">
        <v>6500</v>
      </c>
      <c r="E592" s="525">
        <f>SUMIFS('Accounting data'!$G$2:$G$37000,'Accounting data'!$H$2:$H$37000,"11*",'Accounting data'!$J$2:$J$37000,"3*",'Accounting data'!$K$2:$K$37000,"65*")+SUMIFS('Accounting data'!$G$2:$G$37000,'Accounting data'!$H$2:$H$37000,"12*",'Accounting data'!$J$2:$J$37000,"3*",'Accounting data'!$K$2:$K$37000,"65*")+SUMIFS('Accounting data'!$G$2:$G$37000,'Accounting data'!$H$2:$H$37000,"13*",'Accounting data'!$J$2:$J$37000,"3*",'Accounting data'!$K$2:$K$37000,"65*")</f>
        <v>0</v>
      </c>
    </row>
    <row r="593" spans="1:5" x14ac:dyDescent="0.25">
      <c r="A593" s="524" t="s">
        <v>979</v>
      </c>
      <c r="B593" s="526">
        <v>700</v>
      </c>
      <c r="C593" s="524">
        <v>1000</v>
      </c>
      <c r="D593" s="524">
        <v>6500</v>
      </c>
      <c r="E593" s="525">
        <f>SUMIFS('Accounting data'!$G$2:$G$37000,'Accounting data'!$H$2:$H$37000,"11*",'Accounting data'!$I$2:$I$37000,"7*",'Accounting data'!$J$2:$J$37000,"1*",'Accounting data'!$K$2:$K$37000,"65*")+SUMIFS('Accounting data'!$G$2:$G$37000,'Accounting data'!$H$2:$H$37000,"12*",'Accounting data'!$I$2:$I$37000,"7*",'Accounting data'!$J$2:$J$37000,"1*",'Accounting data'!$K$2:$K$37000,"65*")+SUMIFS('Accounting data'!$G$2:$G$37000,'Accounting data'!$H$2:$H$37000,"13*",'Accounting data'!$I$2:$I$37000,"7*",'Accounting data'!$J$2:$J$37000,"1*",'Accounting data'!$K$2:$K$37000,"65*")</f>
        <v>0</v>
      </c>
    </row>
    <row r="594" spans="1:5" x14ac:dyDescent="0.25">
      <c r="A594" s="524" t="s">
        <v>979</v>
      </c>
      <c r="B594" s="526">
        <v>800</v>
      </c>
      <c r="C594" s="524">
        <v>1000</v>
      </c>
      <c r="D594" s="524">
        <v>6500</v>
      </c>
      <c r="E594" s="525">
        <f>SUMIFS('Accounting data'!$G$2:$G$37000,'Accounting data'!$H$2:$H$37000,"11*",'Accounting data'!$I$2:$I$37000,"8*",'Accounting data'!$J$2:$J$37000,"1*",'Accounting data'!$K$2:$K$37000,"65*")+SUMIFS('Accounting data'!$G$2:$G$37000,'Accounting data'!$H$2:$H$37000,"12*",'Accounting data'!$I$2:$I$37000,"8*",'Accounting data'!$J$2:$J$37000,"1*",'Accounting data'!$K$2:$K$37000,"65*")+SUMIFS('Accounting data'!$G$2:$G$37000,'Accounting data'!$H$2:$H$37000,"13*",'Accounting data'!$I$2:$I$37000,"8*",'Accounting data'!$J$2:$J$37000,"1*",'Accounting data'!$K$2:$K$37000,"65*")</f>
        <v>0</v>
      </c>
    </row>
    <row r="595" spans="1:5" x14ac:dyDescent="0.25">
      <c r="A595" s="524" t="s">
        <v>979</v>
      </c>
      <c r="B595" s="526">
        <v>900</v>
      </c>
      <c r="C595" s="524">
        <v>1000</v>
      </c>
      <c r="D595" s="524">
        <v>6500</v>
      </c>
      <c r="E595" s="525">
        <f>SUMIFS('Accounting data'!$G$2:$G$37000,'Accounting data'!$H$2:$H$37000,"11*",'Accounting data'!$I$2:$I$37000,"9*",'Accounting data'!$J$2:$J$37000,"1*",'Accounting data'!$K$2:$K$37000,"65*")+SUMIFS('Accounting data'!$G$2:$G$37000,'Accounting data'!$H$2:$H$37000,"12*",'Accounting data'!$I$2:$I$37000,"9*",'Accounting data'!$J$2:$J$37000,"1*",'Accounting data'!$K$2:$K$37000,"65*")+SUMIFS('Accounting data'!$G$2:$G$37000,'Accounting data'!$H$2:$H$37000,"13*",'Accounting data'!$I$2:$I$37000,"9*",'Accounting data'!$J$2:$J$37000,"1*",'Accounting data'!$K$2:$K$37000,"65*")</f>
        <v>0</v>
      </c>
    </row>
    <row r="596" spans="1:5" x14ac:dyDescent="0.25">
      <c r="A596" s="524" t="s">
        <v>979</v>
      </c>
      <c r="B596" s="526">
        <v>700</v>
      </c>
      <c r="C596" s="524">
        <v>2000</v>
      </c>
      <c r="D596" s="524">
        <v>6500</v>
      </c>
      <c r="E596" s="525">
        <f>SUMIFS('Accounting data'!$G$2:$G$37000,'Accounting data'!$H$2:$H$37000,"11*",'Accounting data'!$I$2:$I$37000,"7*",'Accounting data'!$J$2:$J$37000,"2*",'Accounting data'!$K$2:$K$37000,"65*")+SUMIFS('Accounting data'!$G$2:$G$37000,'Accounting data'!$H$2:$H$37000,"12*",'Accounting data'!$I$2:$I$37000,"7*",'Accounting data'!$J$2:$J$37000,"2*",'Accounting data'!$K$2:$K$37000,"65*")+SUMIFS('Accounting data'!$G$2:$G$37000,'Accounting data'!$H$2:$H$37000,"13*",'Accounting data'!$I$2:$I$37000,"7*",'Accounting data'!$J$2:$J$37000,"2*",'Accounting data'!$K$2:$K$37000,"65*")</f>
        <v>0</v>
      </c>
    </row>
    <row r="597" spans="1:5" x14ac:dyDescent="0.25">
      <c r="A597" s="524" t="s">
        <v>979</v>
      </c>
      <c r="B597" s="526">
        <v>800</v>
      </c>
      <c r="C597" s="524">
        <v>2000</v>
      </c>
      <c r="D597" s="524">
        <v>6500</v>
      </c>
      <c r="E597" s="525">
        <f>SUMIFS('Accounting data'!$G$2:$G$37000,'Accounting data'!$H$2:$H$37000,"11*",'Accounting data'!$I$2:$I$37000,"8*",'Accounting data'!$J$2:$J$37000,"2*",'Accounting data'!$K$2:$K$37000,"65*")+SUMIFS('Accounting data'!$G$2:$G$37000,'Accounting data'!$H$2:$H$37000,"12*",'Accounting data'!$I$2:$I$37000,"8*",'Accounting data'!$J$2:$J$37000,"2*",'Accounting data'!$K$2:$K$37000,"65*")+SUMIFS('Accounting data'!$G$2:$G$37000,'Accounting data'!$H$2:$H$37000,"13*",'Accounting data'!$I$2:$I$37000,"8*",'Accounting data'!$J$2:$J$37000,"2*",'Accounting data'!$K$2:$K$37000,"65*")</f>
        <v>0</v>
      </c>
    </row>
    <row r="598" spans="1:5" x14ac:dyDescent="0.25">
      <c r="A598" s="524" t="s">
        <v>979</v>
      </c>
      <c r="B598" s="526">
        <v>900</v>
      </c>
      <c r="C598" s="524">
        <v>2000</v>
      </c>
      <c r="D598" s="524">
        <v>6500</v>
      </c>
      <c r="E598" s="525">
        <f>SUMIFS('Accounting data'!$G$2:$G$37000,'Accounting data'!$H$2:$H$37000,"11*",'Accounting data'!$I$2:$I$37000,"9*",'Accounting data'!$J$2:$J$37000,"2*",'Accounting data'!$K$2:$K$37000,"65*")+SUMIFS('Accounting data'!$G$2:$G$37000,'Accounting data'!$H$2:$H$37000,"12*",'Accounting data'!$I$2:$I$37000,"9*",'Accounting data'!$J$2:$J$37000,"2*",'Accounting data'!$K$2:$K$37000,"65*")+SUMIFS('Accounting data'!$G$2:$G$37000,'Accounting data'!$H$2:$H$37000,"13*",'Accounting data'!$I$2:$I$37000,"9*",'Accounting data'!$J$2:$J$37000,"2*",'Accounting data'!$K$2:$K$37000,"65*")</f>
        <v>0</v>
      </c>
    </row>
    <row r="599" spans="1:5" x14ac:dyDescent="0.25">
      <c r="A599" s="524" t="s">
        <v>979</v>
      </c>
      <c r="B599" s="526">
        <v>700</v>
      </c>
      <c r="C599" s="524">
        <v>3000</v>
      </c>
      <c r="D599" s="524">
        <v>6500</v>
      </c>
      <c r="E599" s="525">
        <f>SUMIFS('Accounting data'!$G$2:$G$37000,'Accounting data'!$H$2:$H$37000,"11*",'Accounting data'!$I$2:$I$37000,"7*",'Accounting data'!$J$2:$J$37000,"3*",'Accounting data'!$K$2:$K$37000,"65*")+SUMIFS('Accounting data'!$G$2:$G$37000,'Accounting data'!$H$2:$H$37000,"12*",'Accounting data'!$I$2:$I$37000,"7*",'Accounting data'!$J$2:$J$37000,"3*",'Accounting data'!$K$2:$K$37000,"65*")+SUMIFS('Accounting data'!$G$2:$G$37000,'Accounting data'!$H$2:$H$37000,"13*",'Accounting data'!$I$2:$I$37000,"7*",'Accounting data'!$J$2:$J$37000,"3*",'Accounting data'!$K$2:$K$37000,"65*")</f>
        <v>0</v>
      </c>
    </row>
    <row r="600" spans="1:5" x14ac:dyDescent="0.25">
      <c r="A600" s="524" t="s">
        <v>979</v>
      </c>
      <c r="B600" s="526">
        <v>800</v>
      </c>
      <c r="C600" s="524">
        <v>3000</v>
      </c>
      <c r="D600" s="524">
        <v>6500</v>
      </c>
      <c r="E600" s="525">
        <f>SUMIFS('Accounting data'!$G$2:$G$37000,'Accounting data'!$H$2:$H$37000,"11*",'Accounting data'!$I$2:$I$37000,"8*",'Accounting data'!$J$2:$J$37000,"3*",'Accounting data'!$K$2:$K$37000,"65*")+SUMIFS('Accounting data'!$G$2:$G$37000,'Accounting data'!$H$2:$H$37000,"12*",'Accounting data'!$I$2:$I$37000,"8*",'Accounting data'!$J$2:$J$37000,"3*",'Accounting data'!$K$2:$K$37000,"65*")+SUMIFS('Accounting data'!$G$2:$G$37000,'Accounting data'!$H$2:$H$37000,"13*",'Accounting data'!$I$2:$I$37000,"8*",'Accounting data'!$J$2:$J$37000,"3*",'Accounting data'!$K$2:$K$37000,"65*")</f>
        <v>0</v>
      </c>
    </row>
    <row r="601" spans="1:5" x14ac:dyDescent="0.25">
      <c r="A601" s="524" t="s">
        <v>979</v>
      </c>
      <c r="B601" s="526">
        <v>900</v>
      </c>
      <c r="C601" s="524">
        <v>3000</v>
      </c>
      <c r="D601" s="524">
        <v>6500</v>
      </c>
      <c r="E601" s="525">
        <f>SUMIFS('Accounting data'!$G$2:$G$37000,'Accounting data'!$H$2:$H$37000,"11*",'Accounting data'!$I$2:$I$37000,"9*",'Accounting data'!$J$2:$J$37000,"3*",'Accounting data'!$K$2:$K$37000,"65*")+SUMIFS('Accounting data'!$G$2:$G$37000,'Accounting data'!$H$2:$H$37000,"12*",'Accounting data'!$I$2:$I$37000,"9*",'Accounting data'!$J$2:$J$37000,"3*",'Accounting data'!$K$2:$K$37000,"65*")+SUMIFS('Accounting data'!$G$2:$G$37000,'Accounting data'!$H$2:$H$37000,"13*",'Accounting data'!$I$2:$I$37000,"9*",'Accounting data'!$J$2:$J$37000,"3*",'Accounting data'!$K$2:$K$37000,"65*")</f>
        <v>0</v>
      </c>
    </row>
    <row r="602" spans="1:5" x14ac:dyDescent="0.25">
      <c r="A602" s="527" t="s">
        <v>1011</v>
      </c>
      <c r="B602" s="527"/>
      <c r="C602" s="527"/>
      <c r="D602" s="527"/>
      <c r="E602" s="529">
        <f>(E590+E591+E592)-(E593+E594+E595+E596+E597+E598+E599+E600+E601)</f>
        <v>0</v>
      </c>
    </row>
    <row r="629" spans="1:5" x14ac:dyDescent="0.25">
      <c r="A629" s="530" t="s">
        <v>1012</v>
      </c>
      <c r="B629" s="530"/>
      <c r="C629" s="530"/>
      <c r="D629" s="530"/>
      <c r="E629" s="534">
        <f>(E576+E589+E602)-(E615+E628)</f>
        <v>179430</v>
      </c>
    </row>
    <row r="630" spans="1:5" x14ac:dyDescent="0.25">
      <c r="A630" s="524" t="s">
        <v>963</v>
      </c>
      <c r="B630" s="524" t="s">
        <v>963</v>
      </c>
      <c r="C630" s="524">
        <v>1000</v>
      </c>
      <c r="D630" s="524">
        <v>6600</v>
      </c>
      <c r="E630" s="525">
        <f>SUMIFS('Accounting data'!$G$2:$G$37000,'Accounting data'!$J$2:$J$37000,"1*",'Accounting data'!$K$2:$K$37000,"66*")</f>
        <v>685515</v>
      </c>
    </row>
    <row r="631" spans="1:5" x14ac:dyDescent="0.25">
      <c r="A631" s="524" t="s">
        <v>964</v>
      </c>
      <c r="B631" s="524" t="s">
        <v>963</v>
      </c>
      <c r="C631" s="524">
        <v>1000</v>
      </c>
      <c r="D631" s="524">
        <v>6600</v>
      </c>
      <c r="E631" s="525">
        <f>SUMIFS('Accounting data'!$G$2:$G$37000,'Accounting data'!$H$2:$H$37000,"9999*",'Accounting data'!$J$2:$J$37000,"1*",'Accounting data'!$K$2:$K$37000,"66*")</f>
        <v>0</v>
      </c>
    </row>
    <row r="632" spans="1:5" x14ac:dyDescent="0.25">
      <c r="A632" s="524" t="s">
        <v>963</v>
      </c>
      <c r="B632" s="524" t="s">
        <v>965</v>
      </c>
      <c r="C632" s="524">
        <v>1000</v>
      </c>
      <c r="D632" s="524">
        <v>6600</v>
      </c>
      <c r="E632" s="525">
        <f>SUMIFS('Accounting data'!$G$2:$G$37000,'Accounting data'!$I$2:$I$37000,"7*",'Accounting data'!$J$2:$J$37000,"1*",'Accounting data'!$K$2:$K$37000,"66*")+SUMIFS('Accounting data'!$G$2:$G$37000,'Accounting data'!$I$2:$I$37000,"8*",'Accounting data'!$J$2:$J$37000,"1*",'Accounting data'!$K$2:$K$37000,"66*")+SUMIFS('Accounting data'!$G$2:$G$37000,'Accounting data'!$I$2:$I$37000,"9*",'Accounting data'!$J$2:$J$37000,"1*",'Accounting data'!$K$2:$K$37000,"66*")</f>
        <v>0</v>
      </c>
    </row>
    <row r="633" spans="1:5" x14ac:dyDescent="0.25">
      <c r="A633" s="526" t="s">
        <v>964</v>
      </c>
      <c r="B633" s="524" t="s">
        <v>965</v>
      </c>
      <c r="C633" s="524">
        <v>1000</v>
      </c>
      <c r="D633" s="524">
        <v>6600</v>
      </c>
      <c r="E633" s="525">
        <f>SUMIFS('Accounting data'!$G$2:$G$37000,'Accounting data'!$H$2:$H$37000,"9999*",'Accounting data'!$I$2:$I$37000,"7*",'Accounting data'!$J$2:$J$37000,"1*",'Accounting data'!$K$2:$K$37000,"66*")+SUMIFS('Accounting data'!$G$2:$G$37000,'Accounting data'!$H$2:$H$37000,"9999*",'Accounting data'!$I$2:$I$37000,"8*",'Accounting data'!$J$2:$J$37000,"1*",'Accounting data'!$K$2:$K$37000,"66*")+SUMIFS('Accounting data'!$G$2:$G$37000,'Accounting data'!$H$2:$H$37000,"9999*",'Accounting data'!$I$2:$I$37000,"9*",'Accounting data'!$J$2:$J$37000,"1*",'Accounting data'!$K$2:$K$37000,"66*")</f>
        <v>0</v>
      </c>
    </row>
    <row r="634" spans="1:5" x14ac:dyDescent="0.25">
      <c r="A634" s="524"/>
      <c r="B634" s="524"/>
      <c r="C634" s="524"/>
      <c r="D634" s="524"/>
      <c r="E634" s="525"/>
    </row>
    <row r="635" spans="1:5" x14ac:dyDescent="0.25">
      <c r="A635" s="524"/>
      <c r="B635" s="524"/>
      <c r="C635" s="524"/>
      <c r="D635" s="524"/>
      <c r="E635" s="525"/>
    </row>
    <row r="636" spans="1:5" x14ac:dyDescent="0.25">
      <c r="A636" s="527" t="s">
        <v>1013</v>
      </c>
      <c r="B636" s="527"/>
      <c r="C636" s="527"/>
      <c r="D636" s="527"/>
      <c r="E636" s="529">
        <f>(E630-E631-E632)+(E633+E634+E635)</f>
        <v>685515</v>
      </c>
    </row>
    <row r="637" spans="1:5" x14ac:dyDescent="0.25">
      <c r="A637" s="524" t="s">
        <v>963</v>
      </c>
      <c r="B637" s="524" t="s">
        <v>963</v>
      </c>
      <c r="C637" s="524">
        <v>2100</v>
      </c>
      <c r="D637" s="524">
        <v>6600</v>
      </c>
      <c r="E637" s="525">
        <f>SUMIFS('Accounting data'!$G$2:$G$37000,'Accounting data'!$J$2:$J$37000,"21*",'Accounting data'!$K$2:$K$37000,"66*")</f>
        <v>355</v>
      </c>
    </row>
    <row r="638" spans="1:5" x14ac:dyDescent="0.25">
      <c r="A638" s="524" t="s">
        <v>964</v>
      </c>
      <c r="B638" s="524" t="s">
        <v>963</v>
      </c>
      <c r="C638" s="524">
        <v>2100</v>
      </c>
      <c r="D638" s="524">
        <v>6600</v>
      </c>
      <c r="E638" s="525">
        <f>SUMIFS('Accounting data'!$G$2:$G$37000,'Accounting data'!$H$2:$H$37000,"9999*",'Accounting data'!$J$2:$J$37000,"21*",'Accounting data'!$K$2:$K$37000,"66*")</f>
        <v>0</v>
      </c>
    </row>
    <row r="639" spans="1:5" x14ac:dyDescent="0.25">
      <c r="A639" s="524" t="s">
        <v>963</v>
      </c>
      <c r="B639" s="524" t="s">
        <v>965</v>
      </c>
      <c r="C639" s="524">
        <v>2100</v>
      </c>
      <c r="D639" s="524">
        <v>6600</v>
      </c>
      <c r="E639" s="525">
        <f>SUMIFS('Accounting data'!$G$2:$G$37000,'Accounting data'!$I$2:$I$37000,"7*",'Accounting data'!$J$2:$J$37000,"21*",'Accounting data'!$K$2:$K$37000,"66*")+SUMIFS('Accounting data'!$G$2:$G$37000,'Accounting data'!$I$2:$I$37000,"8*",'Accounting data'!$J$2:$J$37000,"21*",'Accounting data'!$K$2:$K$37000,"66*")+SUMIFS('Accounting data'!$G$2:$G$37000,'Accounting data'!$I$2:$I$37000,"9*",'Accounting data'!$J$2:$J$37000,"21*",'Accounting data'!$K$2:$K$37000,"66*")</f>
        <v>0</v>
      </c>
    </row>
    <row r="640" spans="1:5" x14ac:dyDescent="0.25">
      <c r="A640" s="526" t="s">
        <v>964</v>
      </c>
      <c r="B640" s="524" t="s">
        <v>965</v>
      </c>
      <c r="C640" s="524">
        <v>2100</v>
      </c>
      <c r="D640" s="524">
        <v>6600</v>
      </c>
      <c r="E640" s="525">
        <f>SUMIFS('Accounting data'!$G$2:$G$37000,'Accounting data'!$H$2:$H$37000,"9999*",'Accounting data'!$I$2:$I$37000,"7*",'Accounting data'!$J$2:$J$37000,"21*",'Accounting data'!$K$2:$K$37000,"66*")+SUMIFS('Accounting data'!$G$2:$G$37000,'Accounting data'!$H$2:$H$37000,"9999*",'Accounting data'!$I$2:$I$37000,"8*",'Accounting data'!$J$2:$J$37000,"21*",'Accounting data'!$K$2:$K$37000,"66*")+SUMIFS('Accounting data'!$G$2:$G$37000,'Accounting data'!$H$2:$H$37000,"9999*",'Accounting data'!$I$2:$I$37000,"9*",'Accounting data'!$J$2:$J$37000,"21*",'Accounting data'!$K$2:$K$37000,"66*")</f>
        <v>0</v>
      </c>
    </row>
    <row r="643" spans="1:5" x14ac:dyDescent="0.25">
      <c r="A643" s="527" t="s">
        <v>1014</v>
      </c>
      <c r="B643" s="527"/>
      <c r="C643" s="527"/>
      <c r="D643" s="527"/>
      <c r="E643" s="529">
        <f>(E637-E638-E639)+(E640+E641+E642)</f>
        <v>355</v>
      </c>
    </row>
    <row r="644" spans="1:5" x14ac:dyDescent="0.25">
      <c r="A644" s="524" t="s">
        <v>963</v>
      </c>
      <c r="B644" s="524" t="s">
        <v>963</v>
      </c>
      <c r="C644" s="524">
        <v>2200</v>
      </c>
      <c r="D644" s="524">
        <v>6600</v>
      </c>
      <c r="E644" s="525">
        <f>SUMIFS('Accounting data'!$G$2:$G$37000,'Accounting data'!$J$2:$J$37000,"22*",'Accounting data'!$K$2:$K$37000,"66*")</f>
        <v>0</v>
      </c>
    </row>
    <row r="645" spans="1:5" x14ac:dyDescent="0.25">
      <c r="A645" s="524" t="s">
        <v>964</v>
      </c>
      <c r="B645" s="524" t="s">
        <v>963</v>
      </c>
      <c r="C645" s="524">
        <v>2200</v>
      </c>
      <c r="D645" s="524">
        <v>6600</v>
      </c>
      <c r="E645" s="525">
        <f>SUMIFS('Accounting data'!$G$2:$G$37000,'Accounting data'!$H$2:$H$37000,"9999*",'Accounting data'!$J$2:$J$37000,"22*",'Accounting data'!$K$2:$K$37000,"66*")</f>
        <v>0</v>
      </c>
    </row>
    <row r="646" spans="1:5" x14ac:dyDescent="0.25">
      <c r="A646" s="524" t="s">
        <v>963</v>
      </c>
      <c r="B646" s="524" t="s">
        <v>965</v>
      </c>
      <c r="C646" s="524">
        <v>2200</v>
      </c>
      <c r="D646" s="524">
        <v>6600</v>
      </c>
      <c r="E646" s="525">
        <f>SUMIFS('Accounting data'!$G$2:$G$37000,'Accounting data'!$I$2:$I$37000,"7*",'Accounting data'!$J$2:$J$37000,"22*",'Accounting data'!$K$2:$K$37000,"66*")+SUMIFS('Accounting data'!$G$2:$G$37000,'Accounting data'!$I$2:$I$37000,"8*",'Accounting data'!$J$2:$J$37000,"22*",'Accounting data'!$K$2:$K$37000,"66*")+SUMIFS('Accounting data'!$G$2:$G$37000,'Accounting data'!$I$2:$I$37000,"9*",'Accounting data'!$J$2:$J$37000,"22*",'Accounting data'!$K$2:$K$37000,"66*")</f>
        <v>0</v>
      </c>
    </row>
    <row r="647" spans="1:5" x14ac:dyDescent="0.25">
      <c r="A647" s="526" t="s">
        <v>964</v>
      </c>
      <c r="B647" s="524" t="s">
        <v>965</v>
      </c>
      <c r="C647" s="524">
        <v>2200</v>
      </c>
      <c r="D647" s="524">
        <v>6600</v>
      </c>
      <c r="E647" s="525">
        <f>SUMIFS('Accounting data'!$G$2:$G$37000,'Accounting data'!$H$2:$H$37000,"9999*",'Accounting data'!$I$2:$I$37000,"7*",'Accounting data'!$J$2:$J$37000,"22*",'Accounting data'!$K$2:$K$37000,"66*")+SUMIFS('Accounting data'!$G$2:$G$37000,'Accounting data'!$H$2:$H$37000,"9999*",'Accounting data'!$I$2:$I$37000,"8*",'Accounting data'!$J$2:$J$37000,"22*",'Accounting data'!$K$2:$K$37000,"66*")+SUMIFS('Accounting data'!$G$2:$G$37000,'Accounting data'!$H$2:$H$37000,"9999*",'Accounting data'!$I$2:$I$37000,"9*",'Accounting data'!$J$2:$J$37000,"22*",'Accounting data'!$K$2:$K$37000,"66*")</f>
        <v>0</v>
      </c>
    </row>
    <row r="648" spans="1:5" x14ac:dyDescent="0.25">
      <c r="A648" s="524"/>
      <c r="B648" s="524"/>
      <c r="C648" s="524"/>
      <c r="D648" s="524"/>
      <c r="E648" s="525"/>
    </row>
    <row r="649" spans="1:5" x14ac:dyDescent="0.25">
      <c r="A649" s="524"/>
      <c r="B649" s="524"/>
      <c r="C649" s="524"/>
      <c r="D649" s="524"/>
      <c r="E649" s="525"/>
    </row>
    <row r="650" spans="1:5" x14ac:dyDescent="0.25">
      <c r="A650" s="527" t="s">
        <v>1015</v>
      </c>
      <c r="B650" s="527"/>
      <c r="C650" s="527"/>
      <c r="D650" s="527"/>
      <c r="E650" s="529">
        <f>(E644-E645-E646)+(E647+E648+E649)</f>
        <v>0</v>
      </c>
    </row>
    <row r="651" spans="1:5" x14ac:dyDescent="0.25">
      <c r="A651" s="524" t="s">
        <v>963</v>
      </c>
      <c r="B651" s="524" t="s">
        <v>963</v>
      </c>
      <c r="C651" s="524">
        <v>2300</v>
      </c>
      <c r="D651" s="524">
        <v>6600</v>
      </c>
      <c r="E651" s="525">
        <f>SUMIFS('Accounting data'!$G$2:$G$37000,'Accounting data'!$J$2:$J$37000,"23*",'Accounting data'!$K$2:$K$37000,"66*")</f>
        <v>0</v>
      </c>
    </row>
    <row r="652" spans="1:5" x14ac:dyDescent="0.25">
      <c r="A652" s="524" t="s">
        <v>964</v>
      </c>
      <c r="B652" s="524" t="s">
        <v>963</v>
      </c>
      <c r="C652" s="524">
        <v>2300</v>
      </c>
      <c r="D652" s="524">
        <v>6600</v>
      </c>
      <c r="E652" s="525">
        <f>SUMIFS('Accounting data'!$G$2:$G$37000,'Accounting data'!$H$2:$H$37000,"9999*",'Accounting data'!$J$2:$J$37000,"23*",'Accounting data'!$K$2:$K$37000,"66*")</f>
        <v>0</v>
      </c>
    </row>
    <row r="653" spans="1:5" x14ac:dyDescent="0.25">
      <c r="A653" s="524" t="s">
        <v>963</v>
      </c>
      <c r="B653" s="524" t="s">
        <v>965</v>
      </c>
      <c r="C653" s="524">
        <v>2300</v>
      </c>
      <c r="D653" s="524">
        <v>6600</v>
      </c>
      <c r="E653" s="525">
        <f>SUMIFS('Accounting data'!$G$2:$G$37000,'Accounting data'!$I$2:$I$37000,"7*",'Accounting data'!$J$2:$J$37000,"23*",'Accounting data'!$K$2:$K$37000,"66*")+SUMIFS('Accounting data'!$G$2:$G$37000,'Accounting data'!$I$2:$I$37000,"8*",'Accounting data'!$J$2:$J$37000,"23*",'Accounting data'!$K$2:$K$37000,"66*")+SUMIFS('Accounting data'!$G$2:$G$37000,'Accounting data'!$I$2:$I$37000,"9*",'Accounting data'!$J$2:$J$37000,"23*",'Accounting data'!$K$2:$K$37000,"66*")</f>
        <v>0</v>
      </c>
    </row>
    <row r="654" spans="1:5" x14ac:dyDescent="0.25">
      <c r="A654" s="526" t="s">
        <v>964</v>
      </c>
      <c r="B654" s="524" t="s">
        <v>965</v>
      </c>
      <c r="C654" s="524">
        <v>2300</v>
      </c>
      <c r="D654" s="524">
        <v>6600</v>
      </c>
      <c r="E654" s="525">
        <f>SUMIFS('Accounting data'!$G$2:$G$37000,'Accounting data'!$H$2:$H$37000,"9999*",'Accounting data'!$I$2:$I$37000,"7*",'Accounting data'!$J$2:$J$37000,"23*",'Accounting data'!$K$2:$K$37000,"66*")+SUMIFS('Accounting data'!$G$2:$G$37000,'Accounting data'!$H$2:$H$37000,"9999*",'Accounting data'!$I$2:$I$37000,"8*",'Accounting data'!$J$2:$J$37000,"23*",'Accounting data'!$K$2:$K$37000,"66*")+SUMIFS('Accounting data'!$G$2:$G$37000,'Accounting data'!$H$2:$H$37000,"9999*",'Accounting data'!$I$2:$I$37000,"9*",'Accounting data'!$J$2:$J$37000,"23*",'Accounting data'!$K$2:$K$37000,"66*")</f>
        <v>0</v>
      </c>
    </row>
    <row r="657" spans="1:5" x14ac:dyDescent="0.25">
      <c r="A657" s="527" t="s">
        <v>1016</v>
      </c>
      <c r="B657" s="527"/>
      <c r="C657" s="527"/>
      <c r="D657" s="527"/>
      <c r="E657" s="529">
        <f>(E651-E652-E653)+(E654+E655+E656)</f>
        <v>0</v>
      </c>
    </row>
    <row r="658" spans="1:5" x14ac:dyDescent="0.25">
      <c r="A658" s="524" t="s">
        <v>963</v>
      </c>
      <c r="B658" s="524" t="s">
        <v>963</v>
      </c>
      <c r="C658" s="524">
        <v>2400</v>
      </c>
      <c r="D658" s="524">
        <v>6600</v>
      </c>
      <c r="E658" s="525">
        <f>SUMIFS('Accounting data'!$G$2:$G$37000,'Accounting data'!$J$2:$J$37000,"24*",'Accounting data'!$K$2:$K$37000,"66*")</f>
        <v>38123</v>
      </c>
    </row>
    <row r="659" spans="1:5" x14ac:dyDescent="0.25">
      <c r="A659" s="524" t="s">
        <v>964</v>
      </c>
      <c r="B659" s="524" t="s">
        <v>963</v>
      </c>
      <c r="C659" s="524">
        <v>2400</v>
      </c>
      <c r="D659" s="524">
        <v>6600</v>
      </c>
      <c r="E659" s="525">
        <f>SUMIFS('Accounting data'!$G$2:$G$37000,'Accounting data'!$H$2:$H$37000,"9999*",'Accounting data'!$J$2:$J$37000,"24*",'Accounting data'!$K$2:$K$37000,"66*")</f>
        <v>0</v>
      </c>
    </row>
    <row r="660" spans="1:5" x14ac:dyDescent="0.25">
      <c r="A660" s="524" t="s">
        <v>963</v>
      </c>
      <c r="B660" s="524" t="s">
        <v>965</v>
      </c>
      <c r="C660" s="524">
        <v>2400</v>
      </c>
      <c r="D660" s="524">
        <v>6600</v>
      </c>
      <c r="E660" s="525">
        <f>SUMIFS('Accounting data'!$G$2:$G$37000,'Accounting data'!$I$2:$I$37000,"7*",'Accounting data'!$J$2:$J$37000,"24*",'Accounting data'!$K$2:$K$37000,"66*")+SUMIFS('Accounting data'!$G$2:$G$37000,'Accounting data'!$I$2:$I$37000,"8*",'Accounting data'!$J$2:$J$37000,"24*",'Accounting data'!$K$2:$K$37000,"66*")+SUMIFS('Accounting data'!$G$2:$G$37000,'Accounting data'!$I$2:$I$37000,"9*",'Accounting data'!$J$2:$J$37000,"24*",'Accounting data'!$K$2:$K$37000,"66*")</f>
        <v>0</v>
      </c>
    </row>
    <row r="661" spans="1:5" x14ac:dyDescent="0.25">
      <c r="A661" s="526" t="s">
        <v>964</v>
      </c>
      <c r="B661" s="524" t="s">
        <v>965</v>
      </c>
      <c r="C661" s="524">
        <v>2400</v>
      </c>
      <c r="D661" s="524">
        <v>6600</v>
      </c>
      <c r="E661" s="525">
        <f>SUMIFS('Accounting data'!$G$2:$G$37000,'Accounting data'!$H$2:$H$37000,"9999*",'Accounting data'!$I$2:$I$37000,"7*",'Accounting data'!$J$2:$J$37000,"24*",'Accounting data'!$K$2:$K$37000,"66*")+SUMIFS('Accounting data'!$G$2:$G$37000,'Accounting data'!$H$2:$H$37000,"9999*",'Accounting data'!$I$2:$I$37000,"8*",'Accounting data'!$J$2:$J$37000,"24*",'Accounting data'!$K$2:$K$37000,"66*")+SUMIFS('Accounting data'!$G$2:$G$37000,'Accounting data'!$H$2:$H$37000,"9999*",'Accounting data'!$I$2:$I$37000,"9*",'Accounting data'!$J$2:$J$37000,"24*",'Accounting data'!$K$2:$K$37000,"66*")</f>
        <v>0</v>
      </c>
    </row>
    <row r="662" spans="1:5" x14ac:dyDescent="0.25">
      <c r="A662" s="524"/>
      <c r="B662" s="524"/>
      <c r="C662" s="524"/>
      <c r="D662" s="524"/>
      <c r="E662" s="525"/>
    </row>
    <row r="663" spans="1:5" x14ac:dyDescent="0.25">
      <c r="A663" s="524"/>
      <c r="B663" s="524"/>
      <c r="C663" s="524"/>
      <c r="D663" s="524"/>
      <c r="E663" s="525"/>
    </row>
    <row r="664" spans="1:5" x14ac:dyDescent="0.25">
      <c r="A664" s="527" t="s">
        <v>1017</v>
      </c>
      <c r="B664" s="527"/>
      <c r="C664" s="527"/>
      <c r="D664" s="527"/>
      <c r="E664" s="529">
        <f>(E658-E659-E660)+(E661+E662+E663)</f>
        <v>38123</v>
      </c>
    </row>
    <row r="665" spans="1:5" x14ac:dyDescent="0.25">
      <c r="A665" s="524" t="s">
        <v>963</v>
      </c>
      <c r="B665" s="524" t="s">
        <v>963</v>
      </c>
      <c r="C665" s="524">
        <v>2500</v>
      </c>
      <c r="D665" s="524">
        <v>6600</v>
      </c>
      <c r="E665" s="525">
        <f>SUMIFS('Accounting data'!$G$2:$G$37000,'Accounting data'!$J$2:$J$37000,"25*",'Accounting data'!$K$2:$K$37000,"66*")</f>
        <v>53615</v>
      </c>
    </row>
    <row r="666" spans="1:5" x14ac:dyDescent="0.25">
      <c r="A666" s="524" t="s">
        <v>964</v>
      </c>
      <c r="B666" s="524" t="s">
        <v>963</v>
      </c>
      <c r="C666" s="524">
        <v>2500</v>
      </c>
      <c r="D666" s="524">
        <v>6600</v>
      </c>
      <c r="E666" s="525">
        <f>SUMIFS('Accounting data'!$G$2:$G$37000,'Accounting data'!$H$2:$H$37000,"9999*",'Accounting data'!$J$2:$J$37000,"25*",'Accounting data'!$K$2:$K$37000,"66*")</f>
        <v>0</v>
      </c>
    </row>
    <row r="667" spans="1:5" x14ac:dyDescent="0.25">
      <c r="A667" s="524" t="s">
        <v>963</v>
      </c>
      <c r="B667" s="524" t="s">
        <v>965</v>
      </c>
      <c r="C667" s="524">
        <v>2500</v>
      </c>
      <c r="D667" s="524">
        <v>6600</v>
      </c>
      <c r="E667" s="525">
        <f>SUMIFS('Accounting data'!$G$2:$G$37000,'Accounting data'!$I$2:$I$37000,"7*",'Accounting data'!$J$2:$J$37000,"25*",'Accounting data'!$K$2:$K$37000,"66*")+SUMIFS('Accounting data'!$G$2:$G$37000,'Accounting data'!$I$2:$I$37000,"8*",'Accounting data'!$J$2:$J$37000,"25*",'Accounting data'!$K$2:$K$37000,"66*")+SUMIFS('Accounting data'!$G$2:$G$37000,'Accounting data'!$I$2:$I$37000,"9*",'Accounting data'!$J$2:$J$37000,"25*",'Accounting data'!$K$2:$K$37000,"66*")</f>
        <v>0</v>
      </c>
    </row>
    <row r="668" spans="1:5" x14ac:dyDescent="0.25">
      <c r="A668" s="526" t="s">
        <v>964</v>
      </c>
      <c r="B668" s="524" t="s">
        <v>965</v>
      </c>
      <c r="C668" s="524">
        <v>2500</v>
      </c>
      <c r="D668" s="524">
        <v>6600</v>
      </c>
      <c r="E668" s="525">
        <f>SUMIFS('Accounting data'!$G$2:$G$37000,'Accounting data'!$H$2:$H$37000,"9999*",'Accounting data'!$I$2:$I$37000,"7*",'Accounting data'!$J$2:$J$37000,"25*",'Accounting data'!$K$2:$K$37000,"66*")+SUMIFS('Accounting data'!$G$2:$G$37000,'Accounting data'!$H$2:$H$37000,"9999*",'Accounting data'!$I$2:$I$37000,"8*",'Accounting data'!$J$2:$J$37000,"25*",'Accounting data'!$K$2:$K$37000,"66*")+SUMIFS('Accounting data'!$G$2:$G$37000,'Accounting data'!$H$2:$H$37000,"9999*",'Accounting data'!$I$2:$I$37000,"9*",'Accounting data'!$J$2:$J$37000,"25*",'Accounting data'!$K$2:$K$37000,"66*")</f>
        <v>0</v>
      </c>
    </row>
    <row r="669" spans="1:5" x14ac:dyDescent="0.25">
      <c r="A669" s="524"/>
      <c r="B669" s="524"/>
      <c r="C669" s="524"/>
      <c r="D669" s="524"/>
      <c r="E669" s="525"/>
    </row>
    <row r="670" spans="1:5" x14ac:dyDescent="0.25">
      <c r="A670" s="524"/>
      <c r="B670" s="524"/>
      <c r="C670" s="524"/>
      <c r="D670" s="524"/>
      <c r="E670" s="525"/>
    </row>
    <row r="671" spans="1:5" x14ac:dyDescent="0.25">
      <c r="A671" s="527" t="s">
        <v>1018</v>
      </c>
      <c r="B671" s="527"/>
      <c r="C671" s="527"/>
      <c r="D671" s="527"/>
      <c r="E671" s="529">
        <f>(E665-E666-E667)+(E668+E669+E670)</f>
        <v>53615</v>
      </c>
    </row>
    <row r="672" spans="1:5" x14ac:dyDescent="0.25">
      <c r="A672" s="524" t="s">
        <v>963</v>
      </c>
      <c r="B672" s="524" t="s">
        <v>963</v>
      </c>
      <c r="C672" s="524">
        <v>2900</v>
      </c>
      <c r="D672" s="524">
        <v>6600</v>
      </c>
      <c r="E672" s="525">
        <f>SUMIFS('Accounting data'!$G$2:$G$37000,'Accounting data'!$J$2:$J$37000,"29*",'Accounting data'!$K$2:$K$37000,"66*")</f>
        <v>151489</v>
      </c>
    </row>
    <row r="673" spans="1:5" x14ac:dyDescent="0.25">
      <c r="A673" s="524" t="s">
        <v>964</v>
      </c>
      <c r="B673" s="524" t="s">
        <v>963</v>
      </c>
      <c r="C673" s="524">
        <v>2900</v>
      </c>
      <c r="D673" s="524">
        <v>6600</v>
      </c>
      <c r="E673" s="525">
        <f>SUMIFS('Accounting data'!$G$2:$G$37000,'Accounting data'!$H$2:$H$37000,"9999*",'Accounting data'!$J$2:$J$37000,"29*",'Accounting data'!$K$2:$K$37000,"66*")</f>
        <v>0</v>
      </c>
    </row>
    <row r="674" spans="1:5" x14ac:dyDescent="0.25">
      <c r="A674" s="524" t="s">
        <v>963</v>
      </c>
      <c r="B674" s="524" t="s">
        <v>965</v>
      </c>
      <c r="C674" s="524">
        <v>2900</v>
      </c>
      <c r="D674" s="524">
        <v>6600</v>
      </c>
      <c r="E674" s="525">
        <f>SUMIFS('Accounting data'!$G$2:$G$37000,'Accounting data'!$I$2:$I$37000,"7*",'Accounting data'!$J$2:$J$37000,"29*",'Accounting data'!$K$2:$K$37000,"66*")+SUMIFS('Accounting data'!$G$2:$G$37000,'Accounting data'!$I$2:$I$37000,"8*",'Accounting data'!$J$2:$J$37000,"29*",'Accounting data'!$K$2:$K$37000,"66*")+SUMIFS('Accounting data'!$G$2:$G$37000,'Accounting data'!$I$2:$I$37000,"9*",'Accounting data'!$J$2:$J$37000,"29*",'Accounting data'!$K$2:$K$37000,"66*")</f>
        <v>0</v>
      </c>
    </row>
    <row r="675" spans="1:5" x14ac:dyDescent="0.25">
      <c r="A675" s="526" t="s">
        <v>964</v>
      </c>
      <c r="B675" s="524" t="s">
        <v>965</v>
      </c>
      <c r="C675" s="524">
        <v>2900</v>
      </c>
      <c r="D675" s="524">
        <v>6600</v>
      </c>
      <c r="E675" s="525">
        <f>SUMIFS('Accounting data'!$G$2:$G$37000,'Accounting data'!$H$2:$H$37000,"9999*",'Accounting data'!$I$2:$I$37000,"7*",'Accounting data'!$J$2:$J$37000,"29*",'Accounting data'!$K$2:$K$37000,"66*")+SUMIFS('Accounting data'!$G$2:$G$37000,'Accounting data'!$H$2:$H$37000,"9999*",'Accounting data'!$I$2:$I$37000,"8*",'Accounting data'!$J$2:$J$37000,"29*",'Accounting data'!$K$2:$K$37000,"66*")+SUMIFS('Accounting data'!$G$2:$G$37000,'Accounting data'!$H$2:$H$37000,"9999*",'Accounting data'!$I$2:$I$37000,"9*",'Accounting data'!$J$2:$J$37000,"29*",'Accounting data'!$K$2:$K$37000,"66*")</f>
        <v>0</v>
      </c>
    </row>
    <row r="676" spans="1:5" x14ac:dyDescent="0.25">
      <c r="A676" s="524"/>
      <c r="B676" s="524"/>
      <c r="C676" s="524"/>
      <c r="D676" s="524"/>
      <c r="E676" s="525"/>
    </row>
    <row r="677" spans="1:5" x14ac:dyDescent="0.25">
      <c r="A677" s="524"/>
      <c r="B677" s="524"/>
      <c r="C677" s="524"/>
      <c r="D677" s="524"/>
      <c r="E677" s="525"/>
    </row>
    <row r="678" spans="1:5" x14ac:dyDescent="0.25">
      <c r="A678" s="527" t="s">
        <v>1019</v>
      </c>
      <c r="B678" s="527"/>
      <c r="C678" s="527"/>
      <c r="D678" s="527"/>
      <c r="E678" s="529">
        <f>(E672-E673-E674)+(E675+E676+E677)</f>
        <v>151489</v>
      </c>
    </row>
    <row r="679" spans="1:5" x14ac:dyDescent="0.25">
      <c r="A679" s="524" t="s">
        <v>963</v>
      </c>
      <c r="B679" s="524" t="s">
        <v>963</v>
      </c>
      <c r="C679" s="524">
        <v>2600</v>
      </c>
      <c r="D679" s="524">
        <v>6600</v>
      </c>
      <c r="E679" s="525">
        <f>SUMIFS('Accounting data'!$G$2:$G$37000,'Accounting data'!$J$2:$J$37000,"26*",'Accounting data'!$K$2:$K$37000,"66*")</f>
        <v>100</v>
      </c>
    </row>
    <row r="680" spans="1:5" x14ac:dyDescent="0.25">
      <c r="A680" s="524" t="s">
        <v>964</v>
      </c>
      <c r="B680" s="524" t="s">
        <v>963</v>
      </c>
      <c r="C680" s="524">
        <v>2600</v>
      </c>
      <c r="D680" s="524">
        <v>6600</v>
      </c>
      <c r="E680" s="525">
        <f>SUMIFS('Accounting data'!$G$2:$G$37000,'Accounting data'!$H$2:$H$37000,"9999*",'Accounting data'!$J$2:$J$37000,"26*",'Accounting data'!$K$2:$K$37000,"66*")</f>
        <v>0</v>
      </c>
    </row>
    <row r="681" spans="1:5" x14ac:dyDescent="0.25">
      <c r="A681" s="524" t="s">
        <v>963</v>
      </c>
      <c r="B681" s="524" t="s">
        <v>965</v>
      </c>
      <c r="C681" s="524">
        <v>2600</v>
      </c>
      <c r="D681" s="524">
        <v>6600</v>
      </c>
      <c r="E681" s="525">
        <f>SUMIFS('Accounting data'!$G$2:$G$37000,'Accounting data'!$I$2:$I$37000,"7*",'Accounting data'!$J$2:$J$37000,"26*",'Accounting data'!$K$2:$K$37000,"66*")+SUMIFS('Accounting data'!$G$2:$G$37000,'Accounting data'!$I$2:$I$37000,"8*",'Accounting data'!$J$2:$J$37000,"26*",'Accounting data'!$K$2:$K$37000,"66*")+SUMIFS('Accounting data'!$G$2:$G$37000,'Accounting data'!$I$2:$I$37000,"9*",'Accounting data'!$J$2:$J$37000,"26*",'Accounting data'!$K$2:$K$37000,"66*")</f>
        <v>0</v>
      </c>
    </row>
    <row r="682" spans="1:5" x14ac:dyDescent="0.25">
      <c r="A682" s="526" t="s">
        <v>964</v>
      </c>
      <c r="B682" s="524" t="s">
        <v>965</v>
      </c>
      <c r="C682" s="524">
        <v>2600</v>
      </c>
      <c r="D682" s="524">
        <v>6600</v>
      </c>
      <c r="E682" s="525">
        <f>SUMIFS('Accounting data'!$G$2:$G$37000,'Accounting data'!$H$2:$H$37000,"9999*",'Accounting data'!$I$2:$I$37000,"7*",'Accounting data'!$J$2:$J$37000,"26*",'Accounting data'!$K$2:$K$37000,"66*")+SUMIFS('Accounting data'!$G$2:$G$37000,'Accounting data'!$H$2:$H$37000,"9999*",'Accounting data'!$I$2:$I$37000,"8*",'Accounting data'!$J$2:$J$37000,"26*",'Accounting data'!$K$2:$K$37000,"66*")+SUMIFS('Accounting data'!$G$2:$G$37000,'Accounting data'!$H$2:$H$37000,"9999*",'Accounting data'!$I$2:$I$37000,"9*",'Accounting data'!$J$2:$J$37000,"26*",'Accounting data'!$K$2:$K$37000,"66*")</f>
        <v>0</v>
      </c>
    </row>
    <row r="683" spans="1:5" x14ac:dyDescent="0.25">
      <c r="A683" s="524"/>
      <c r="B683" s="524"/>
      <c r="C683" s="524"/>
      <c r="D683" s="524"/>
      <c r="E683" s="525"/>
    </row>
    <row r="684" spans="1:5" x14ac:dyDescent="0.25">
      <c r="A684" s="524"/>
      <c r="B684" s="524"/>
      <c r="C684" s="524"/>
      <c r="D684" s="524"/>
      <c r="E684" s="525"/>
    </row>
    <row r="685" spans="1:5" x14ac:dyDescent="0.25">
      <c r="A685" s="527" t="s">
        <v>1020</v>
      </c>
      <c r="B685" s="527"/>
      <c r="C685" s="527"/>
      <c r="D685" s="527"/>
      <c r="E685" s="529">
        <f>(E679-E680-E681)+(E682+E683+E684)</f>
        <v>100</v>
      </c>
    </row>
    <row r="686" spans="1:5" x14ac:dyDescent="0.25">
      <c r="A686" s="524" t="s">
        <v>963</v>
      </c>
      <c r="B686" s="524" t="s">
        <v>963</v>
      </c>
      <c r="C686" s="524">
        <v>2700</v>
      </c>
      <c r="D686" s="524">
        <v>6600</v>
      </c>
      <c r="E686" s="525">
        <f>SUMIFS('Accounting data'!$G$2:$G$37000,'Accounting data'!$J$2:$J$37000,"27*",'Accounting data'!$K$2:$K$37000,"66*")</f>
        <v>8911</v>
      </c>
    </row>
    <row r="687" spans="1:5" x14ac:dyDescent="0.25">
      <c r="A687" s="524" t="s">
        <v>964</v>
      </c>
      <c r="B687" s="524" t="s">
        <v>963</v>
      </c>
      <c r="C687" s="524">
        <v>2700</v>
      </c>
      <c r="D687" s="524">
        <v>6600</v>
      </c>
      <c r="E687" s="525">
        <f>SUMIFS('Accounting data'!$G$2:$G$37000,'Accounting data'!$H$2:$H$37000,"9999*",'Accounting data'!$J$2:$J$37000,"27*",'Accounting data'!$K$2:$K$37000,"66*")</f>
        <v>0</v>
      </c>
    </row>
    <row r="688" spans="1:5" x14ac:dyDescent="0.25">
      <c r="A688" s="524" t="s">
        <v>963</v>
      </c>
      <c r="B688" s="524" t="s">
        <v>965</v>
      </c>
      <c r="C688" s="524">
        <v>2700</v>
      </c>
      <c r="D688" s="524">
        <v>6600</v>
      </c>
      <c r="E688" s="525">
        <f>SUMIFS('Accounting data'!$G$2:$G$37000,'Accounting data'!$I$2:$I$37000,"7*",'Accounting data'!$J$2:$J$37000,"27*",'Accounting data'!$K$2:$K$37000,"66*")+SUMIFS('Accounting data'!$G$2:$G$37000,'Accounting data'!$I$2:$I$37000,"8*",'Accounting data'!$J$2:$J$37000,"27*",'Accounting data'!$K$2:$K$37000,"66*")+SUMIFS('Accounting data'!$G$2:$G$37000,'Accounting data'!$I$2:$I$37000,"9*",'Accounting data'!$J$2:$J$37000,"27*",'Accounting data'!$K$2:$K$37000,"66*")</f>
        <v>0</v>
      </c>
    </row>
    <row r="689" spans="1:5" x14ac:dyDescent="0.25">
      <c r="A689" s="526" t="s">
        <v>964</v>
      </c>
      <c r="B689" s="524" t="s">
        <v>965</v>
      </c>
      <c r="C689" s="524">
        <v>2700</v>
      </c>
      <c r="D689" s="524">
        <v>6600</v>
      </c>
      <c r="E689" s="525">
        <f>SUMIFS('Accounting data'!$G$2:$G$37000,'Accounting data'!$H$2:$H$37000,"9999*",'Accounting data'!$I$2:$I$37000,"7*",'Accounting data'!$J$2:$J$37000,"27*",'Accounting data'!$K$2:$K$37000,"66*")+SUMIFS('Accounting data'!$G$2:$G$37000,'Accounting data'!$H$2:$H$37000,"9999*",'Accounting data'!$I$2:$I$37000,"8*",'Accounting data'!$J$2:$J$37000,"27*",'Accounting data'!$K$2:$K$37000,"66*")+SUMIFS('Accounting data'!$G$2:$G$37000,'Accounting data'!$H$2:$H$37000,"9999*",'Accounting data'!$I$2:$I$37000,"9*",'Accounting data'!$J$2:$J$37000,"27*",'Accounting data'!$K$2:$K$37000,"66*")</f>
        <v>0</v>
      </c>
    </row>
    <row r="690" spans="1:5" x14ac:dyDescent="0.25">
      <c r="A690" s="524"/>
      <c r="B690" s="524"/>
      <c r="C690" s="524"/>
      <c r="D690" s="524"/>
      <c r="E690" s="525"/>
    </row>
    <row r="691" spans="1:5" x14ac:dyDescent="0.25">
      <c r="A691" s="524"/>
      <c r="B691" s="524"/>
      <c r="C691" s="524"/>
      <c r="D691" s="524"/>
      <c r="E691" s="525"/>
    </row>
    <row r="692" spans="1:5" x14ac:dyDescent="0.25">
      <c r="A692" s="527" t="s">
        <v>1021</v>
      </c>
      <c r="B692" s="527"/>
      <c r="C692" s="527"/>
      <c r="D692" s="527"/>
      <c r="E692" s="529">
        <f>(E686-E687-E688)+(E689+E690+E691)</f>
        <v>8911</v>
      </c>
    </row>
    <row r="693" spans="1:5" x14ac:dyDescent="0.25">
      <c r="A693" s="524" t="s">
        <v>963</v>
      </c>
      <c r="B693" s="524" t="s">
        <v>963</v>
      </c>
      <c r="C693" s="524">
        <v>3100</v>
      </c>
      <c r="D693" s="524">
        <v>6600</v>
      </c>
      <c r="E693" s="525">
        <f>SUMIFS('Accounting data'!$G$2:$G$37000,'Accounting data'!$J$2:$J$37000,"31*",'Accounting data'!$K$2:$K$37000,"66*")</f>
        <v>0</v>
      </c>
    </row>
    <row r="694" spans="1:5" x14ac:dyDescent="0.25">
      <c r="A694" s="524" t="s">
        <v>964</v>
      </c>
      <c r="B694" s="524" t="s">
        <v>963</v>
      </c>
      <c r="C694" s="524">
        <v>3100</v>
      </c>
      <c r="D694" s="524">
        <v>6600</v>
      </c>
      <c r="E694" s="525">
        <f>SUMIFS('Accounting data'!$G$2:$G$37000,'Accounting data'!$H$2:$H$37000,"9999*",'Accounting data'!$J$2:$J$37000,"31*",'Accounting data'!$K$2:$K$37000,"66*")</f>
        <v>0</v>
      </c>
    </row>
    <row r="695" spans="1:5" x14ac:dyDescent="0.25">
      <c r="A695" s="524" t="s">
        <v>963</v>
      </c>
      <c r="B695" s="524" t="s">
        <v>965</v>
      </c>
      <c r="C695" s="524">
        <v>3100</v>
      </c>
      <c r="D695" s="524">
        <v>6600</v>
      </c>
      <c r="E695" s="525">
        <f>SUMIFS('Accounting data'!$G$2:$G$37000,'Accounting data'!$I$2:$I$37000,"7*",'Accounting data'!$J$2:$J$37000,"31*",'Accounting data'!$K$2:$K$37000,"66*")+SUMIFS('Accounting data'!$G$2:$G$37000,'Accounting data'!$I$2:$I$37000,"8*",'Accounting data'!$J$2:$J$37000,"31*",'Accounting data'!$K$2:$K$37000,"66*")+SUMIFS('Accounting data'!$G$2:$G$37000,'Accounting data'!$I$2:$I$37000,"9*",'Accounting data'!$J$2:$J$37000,"31*",'Accounting data'!$K$2:$K$37000,"66*")</f>
        <v>0</v>
      </c>
    </row>
    <row r="696" spans="1:5" x14ac:dyDescent="0.25">
      <c r="A696" s="526" t="s">
        <v>964</v>
      </c>
      <c r="B696" s="524" t="s">
        <v>965</v>
      </c>
      <c r="C696" s="524">
        <v>3100</v>
      </c>
      <c r="D696" s="524">
        <v>6600</v>
      </c>
      <c r="E696" s="525">
        <f>SUMIFS('Accounting data'!$G$2:$G$37000,'Accounting data'!$H$2:$H$37000,"9999*",'Accounting data'!$I$2:$I$37000,"7*",'Accounting data'!$J$2:$J$37000,"31*",'Accounting data'!$K$2:$K$37000,"66*")+SUMIFS('Accounting data'!$G$2:$G$37000,'Accounting data'!$H$2:$H$37000,"9999*",'Accounting data'!$I$2:$I$37000,"8*",'Accounting data'!$J$2:$J$37000,"31*",'Accounting data'!$K$2:$K$37000,"66*")+SUMIFS('Accounting data'!$G$2:$G$37000,'Accounting data'!$H$2:$H$37000,"9999*",'Accounting data'!$I$2:$I$37000,"9*",'Accounting data'!$J$2:$J$37000,"31*",'Accounting data'!$K$2:$K$37000,"66*")</f>
        <v>0</v>
      </c>
    </row>
    <row r="697" spans="1:5" x14ac:dyDescent="0.25">
      <c r="A697" s="524"/>
      <c r="B697" s="524"/>
      <c r="C697" s="524"/>
      <c r="D697" s="524"/>
      <c r="E697" s="525"/>
    </row>
    <row r="698" spans="1:5" x14ac:dyDescent="0.25">
      <c r="A698" s="524"/>
      <c r="B698" s="524"/>
      <c r="C698" s="524"/>
      <c r="D698" s="524"/>
      <c r="E698" s="525"/>
    </row>
    <row r="699" spans="1:5" x14ac:dyDescent="0.25">
      <c r="A699" s="527" t="s">
        <v>1022</v>
      </c>
      <c r="B699" s="527"/>
      <c r="C699" s="527"/>
      <c r="D699" s="527"/>
      <c r="E699" s="529">
        <f>(E693-E694-E695)+(E696+E697+E698)</f>
        <v>0</v>
      </c>
    </row>
    <row r="707" spans="1:5" x14ac:dyDescent="0.25">
      <c r="A707" s="524" t="s">
        <v>963</v>
      </c>
      <c r="B707" s="524" t="s">
        <v>963</v>
      </c>
      <c r="C707" s="524">
        <v>3400</v>
      </c>
      <c r="D707" s="524">
        <v>6600</v>
      </c>
      <c r="E707" s="525">
        <f>SUMIFS('Accounting data'!$G$2:$G$37000,'Accounting data'!$J$2:$J$37000,"34*",'Accounting data'!$K$2:$K$37000,"66*")</f>
        <v>0</v>
      </c>
    </row>
    <row r="708" spans="1:5" x14ac:dyDescent="0.25">
      <c r="A708" s="524" t="s">
        <v>964</v>
      </c>
      <c r="B708" s="524" t="s">
        <v>963</v>
      </c>
      <c r="C708" s="524">
        <v>3400</v>
      </c>
      <c r="D708" s="524">
        <v>6600</v>
      </c>
      <c r="E708" s="525">
        <f>SUMIFS('Accounting data'!$G$2:$G$37000,'Accounting data'!$H$2:$H$37000,"9999*",'Accounting data'!$J$2:$J$37000,"34*",'Accounting data'!$K$2:$K$37000,"66*")</f>
        <v>0</v>
      </c>
    </row>
    <row r="709" spans="1:5" x14ac:dyDescent="0.25">
      <c r="A709" s="524" t="s">
        <v>963</v>
      </c>
      <c r="B709" s="524" t="s">
        <v>965</v>
      </c>
      <c r="C709" s="524">
        <v>3400</v>
      </c>
      <c r="D709" s="524">
        <v>6600</v>
      </c>
      <c r="E709" s="525">
        <f>SUMIFS('Accounting data'!$G$2:$G$37000,'Accounting data'!$I$2:$I$37000,"7*",'Accounting data'!$J$2:$J$37000,"34*",'Accounting data'!$K$2:$K$37000,"66*")+SUMIFS('Accounting data'!$G$2:$G$37000,'Accounting data'!$I$2:$I$37000,"8*",'Accounting data'!$J$2:$J$37000,"34*",'Accounting data'!$K$2:$K$37000,"66*")+SUMIFS('Accounting data'!$G$2:$G$37000,'Accounting data'!$I$2:$I$37000,"9*",'Accounting data'!$J$2:$J$37000,"34*",'Accounting data'!$K$2:$K$37000,"66*")</f>
        <v>0</v>
      </c>
    </row>
    <row r="710" spans="1:5" x14ac:dyDescent="0.25">
      <c r="A710" s="526" t="s">
        <v>964</v>
      </c>
      <c r="B710" s="524" t="s">
        <v>965</v>
      </c>
      <c r="C710" s="524">
        <v>3400</v>
      </c>
      <c r="D710" s="524">
        <v>6600</v>
      </c>
      <c r="E710" s="525">
        <f>SUMIFS('Accounting data'!$G$2:$G$37000,'Accounting data'!$H$2:$H$37000,"9999*",'Accounting data'!$I$2:$I$37000,"7*",'Accounting data'!$J$2:$J$37000,"34*",'Accounting data'!$K$2:$K$37000,"66*")+SUMIFS('Accounting data'!$G$2:$G$37000,'Accounting data'!$H$2:$H$37000,"9999*",'Accounting data'!$I$2:$I$37000,"8*",'Accounting data'!$J$2:$J$37000,"34*",'Accounting data'!$K$2:$K$37000,"66*")+SUMIFS('Accounting data'!$G$2:$G$37000,'Accounting data'!$H$2:$H$37000,"9999*",'Accounting data'!$I$2:$I$37000,"9*",'Accounting data'!$J$2:$J$37000,"34*",'Accounting data'!$K$2:$K$37000,"66*")</f>
        <v>0</v>
      </c>
    </row>
    <row r="711" spans="1:5" x14ac:dyDescent="0.25">
      <c r="A711" s="524"/>
      <c r="B711" s="524"/>
      <c r="C711" s="524"/>
      <c r="D711" s="524"/>
      <c r="E711" s="525"/>
    </row>
    <row r="712" spans="1:5" x14ac:dyDescent="0.25">
      <c r="A712" s="524"/>
      <c r="B712" s="524"/>
      <c r="C712" s="524"/>
      <c r="D712" s="524"/>
      <c r="E712" s="525"/>
    </row>
    <row r="713" spans="1:5" x14ac:dyDescent="0.25">
      <c r="A713" s="527" t="s">
        <v>1023</v>
      </c>
      <c r="B713" s="527"/>
      <c r="C713" s="527"/>
      <c r="D713" s="527"/>
      <c r="E713" s="529">
        <f>(E707-E708-E709)+(E710+E711+E712)</f>
        <v>0</v>
      </c>
    </row>
    <row r="714" spans="1:5" x14ac:dyDescent="0.25">
      <c r="A714" s="524" t="s">
        <v>963</v>
      </c>
      <c r="B714" s="524" t="s">
        <v>963</v>
      </c>
      <c r="C714" s="524">
        <v>4000</v>
      </c>
      <c r="D714" s="524">
        <v>6600</v>
      </c>
      <c r="E714" s="525">
        <f>SUMIFS('Accounting data'!$G$2:$G$37000,'Accounting data'!$J$2:$J$37000,"4*",'Accounting data'!$K$2:$K$37000,"66*")</f>
        <v>0</v>
      </c>
    </row>
    <row r="715" spans="1:5" x14ac:dyDescent="0.25">
      <c r="A715" s="524" t="s">
        <v>964</v>
      </c>
      <c r="B715" s="524" t="s">
        <v>963</v>
      </c>
      <c r="C715" s="524">
        <v>4000</v>
      </c>
      <c r="D715" s="524">
        <v>6600</v>
      </c>
      <c r="E715" s="525">
        <f>SUMIFS('Accounting data'!$G$2:$G$37000,'Accounting data'!$H$2:$H$37000,"9999*",'Accounting data'!$J$2:$J$37000,"4*",'Accounting data'!$K$2:$K$37000,"66*")</f>
        <v>0</v>
      </c>
    </row>
    <row r="716" spans="1:5" x14ac:dyDescent="0.25">
      <c r="A716" s="524" t="s">
        <v>963</v>
      </c>
      <c r="B716" s="524" t="s">
        <v>965</v>
      </c>
      <c r="C716" s="524">
        <v>4000</v>
      </c>
      <c r="D716" s="524">
        <v>6600</v>
      </c>
      <c r="E716" s="525">
        <f>SUMIFS('Accounting data'!$G$2:$G$37000,'Accounting data'!$I$2:$I$37000,"7*",'Accounting data'!$J$2:$J$37000,"4*",'Accounting data'!$K$2:$K$37000,"66*")+SUMIFS('Accounting data'!$G$2:$G$37000,'Accounting data'!$I$2:$I$37000,"8*",'Accounting data'!$J$2:$J$37000,"4*",'Accounting data'!$K$2:$K$37000,"66*")+SUMIFS('Accounting data'!$G$2:$G$37000,'Accounting data'!$I$2:$I$37000,"9*",'Accounting data'!$J$2:$J$37000,"4*",'Accounting data'!$K$2:$K$37000,"66*")</f>
        <v>0</v>
      </c>
    </row>
    <row r="717" spans="1:5" x14ac:dyDescent="0.25">
      <c r="A717" s="526" t="s">
        <v>964</v>
      </c>
      <c r="B717" s="524" t="s">
        <v>965</v>
      </c>
      <c r="C717" s="524">
        <v>4000</v>
      </c>
      <c r="D717" s="524">
        <v>6600</v>
      </c>
      <c r="E717" s="525">
        <f>SUMIFS('Accounting data'!$G$2:$G$37000,'Accounting data'!$H$2:$H$37000,"9999*",'Accounting data'!$I$2:$I$37000,"7*",'Accounting data'!$J$2:$J$37000,"4*",'Accounting data'!$K$2:$K$37000,"66*")+SUMIFS('Accounting data'!$G$2:$G$37000,'Accounting data'!$H$2:$H$37000,"9999*",'Accounting data'!$I$2:$I$37000,"8*",'Accounting data'!$J$2:$J$37000,"4*",'Accounting data'!$K$2:$K$37000,"66*")+SUMIFS('Accounting data'!$G$2:$G$37000,'Accounting data'!$H$2:$H$37000,"9999*",'Accounting data'!$I$2:$I$37000,"9*",'Accounting data'!$J$2:$J$37000,"4*",'Accounting data'!$K$2:$K$37000,"66*")</f>
        <v>0</v>
      </c>
    </row>
    <row r="718" spans="1:5" x14ac:dyDescent="0.25">
      <c r="A718" s="524"/>
      <c r="B718" s="524"/>
      <c r="C718" s="524"/>
      <c r="D718" s="524"/>
      <c r="E718" s="525"/>
    </row>
    <row r="719" spans="1:5" x14ac:dyDescent="0.25">
      <c r="A719" s="524"/>
      <c r="B719" s="524"/>
      <c r="C719" s="524"/>
      <c r="D719" s="524"/>
      <c r="E719" s="525"/>
    </row>
    <row r="720" spans="1:5" x14ac:dyDescent="0.25">
      <c r="A720" s="527" t="s">
        <v>1024</v>
      </c>
      <c r="B720" s="527"/>
      <c r="C720" s="527"/>
      <c r="D720" s="527"/>
      <c r="E720" s="529">
        <f>(E714-E715-E716)+(E717+E718+E719)</f>
        <v>0</v>
      </c>
    </row>
    <row r="721" spans="1:5" x14ac:dyDescent="0.25">
      <c r="A721" s="535" t="s">
        <v>1025</v>
      </c>
      <c r="B721" s="535"/>
      <c r="C721" s="535"/>
      <c r="D721" s="535"/>
      <c r="E721" s="536">
        <f>E636+E643+E650+E657+E664+E671+E678+E685+E692+E699+E706+E713</f>
        <v>938108</v>
      </c>
    </row>
    <row r="722" spans="1:5" x14ac:dyDescent="0.25">
      <c r="A722" s="524" t="s">
        <v>979</v>
      </c>
      <c r="B722" s="524" t="s">
        <v>963</v>
      </c>
      <c r="C722" s="524">
        <v>1000</v>
      </c>
      <c r="D722" s="524">
        <v>6600</v>
      </c>
      <c r="E722" s="525">
        <f>SUMIFS('Accounting data'!$G$2:$G$37000,'Accounting data'!$H$2:$H$37000,"11*",'Accounting data'!$J$2:$J$37000,"1*",'Accounting data'!$K$2:$K$37000,"66*")+SUMIFS('Accounting data'!$G$2:$G$37000,'Accounting data'!$H$2:$H$37000,"12*",'Accounting data'!$J$2:$J$37000,"1*",'Accounting data'!$K$2:$K$37000,"66*")+SUMIFS('Accounting data'!$G$2:$G$37000,'Accounting data'!$H$2:$H$37000,"13*",'Accounting data'!$J$2:$J$37000,"1*",'Accounting data'!$K$2:$K$37000,"66*")</f>
        <v>196041</v>
      </c>
    </row>
    <row r="723" spans="1:5" x14ac:dyDescent="0.25">
      <c r="A723" s="524" t="s">
        <v>979</v>
      </c>
      <c r="B723" s="524" t="s">
        <v>963</v>
      </c>
      <c r="C723" s="524">
        <v>2000</v>
      </c>
      <c r="D723" s="524">
        <v>6600</v>
      </c>
      <c r="E723" s="525">
        <f>SUMIFS('Accounting data'!$G$2:$G$37000,'Accounting data'!$H$2:$H$37000,"11*",'Accounting data'!$J$2:$J$37000,"2*",'Accounting data'!$K$2:$K$37000,"66*")+SUMIFS('Accounting data'!$G$2:$G$37000,'Accounting data'!$H$2:$H$37000,"12*",'Accounting data'!$J$2:$J$37000,"2*",'Accounting data'!$K$2:$K$37000,"66*")+SUMIFS('Accounting data'!$G$2:$G$37000,'Accounting data'!$H$2:$H$37000,"13*",'Accounting data'!$J$2:$J$37000,"2*",'Accounting data'!$K$2:$K$37000,"66*")</f>
        <v>0</v>
      </c>
    </row>
    <row r="724" spans="1:5" x14ac:dyDescent="0.25">
      <c r="A724" s="524" t="s">
        <v>979</v>
      </c>
      <c r="B724" s="524" t="s">
        <v>963</v>
      </c>
      <c r="C724" s="524">
        <v>3000</v>
      </c>
      <c r="D724" s="524">
        <v>6600</v>
      </c>
      <c r="E724" s="525">
        <f>SUMIFS('Accounting data'!$G$2:$G$37000,'Accounting data'!$H$2:$H$37000,"11*",'Accounting data'!$J$2:$J$37000,"3*",'Accounting data'!$K$2:$K$37000,"66*")+SUMIFS('Accounting data'!$G$2:$G$37000,'Accounting data'!$H$2:$H$37000,"12*",'Accounting data'!$J$2:$J$37000,"3*",'Accounting data'!$K$2:$K$37000,"66*")+SUMIFS('Accounting data'!$G$2:$G$37000,'Accounting data'!$H$2:$H$37000,"13*",'Accounting data'!$J$2:$J$37000,"3*",'Accounting data'!$K$2:$K$37000,"66*")</f>
        <v>0</v>
      </c>
    </row>
    <row r="725" spans="1:5" x14ac:dyDescent="0.25">
      <c r="A725" s="524" t="s">
        <v>979</v>
      </c>
      <c r="B725" s="526">
        <v>700</v>
      </c>
      <c r="C725" s="524">
        <v>1000</v>
      </c>
      <c r="D725" s="524">
        <v>6600</v>
      </c>
      <c r="E725" s="525">
        <f>SUMIFS('Accounting data'!$G$2:$G$37000,'Accounting data'!$H$2:$H$37000,"11*",'Accounting data'!$I$2:$I$37000,"7*",'Accounting data'!$J$2:$J$37000,"1*",'Accounting data'!$K$2:$K$37000,"66*")+SUMIFS('Accounting data'!$G$2:$G$37000,'Accounting data'!$H$2:$H$37000,"12*",'Accounting data'!$I$2:$I$37000,"7*",'Accounting data'!$J$2:$J$37000,"1*",'Accounting data'!$K$2:$K$37000,"66*")+SUMIFS('Accounting data'!$G$2:$G$37000,'Accounting data'!$H$2:$H$37000,"13*",'Accounting data'!$I$2:$I$37000,"7*",'Accounting data'!$J$2:$J$37000,"1*",'Accounting data'!$K$2:$K$37000,"66*")</f>
        <v>0</v>
      </c>
    </row>
    <row r="726" spans="1:5" x14ac:dyDescent="0.25">
      <c r="A726" s="524" t="s">
        <v>979</v>
      </c>
      <c r="B726" s="526">
        <v>800</v>
      </c>
      <c r="C726" s="524">
        <v>1000</v>
      </c>
      <c r="D726" s="524">
        <v>6600</v>
      </c>
      <c r="E726" s="525">
        <f>SUMIFS('Accounting data'!$G$2:$G$37000,'Accounting data'!$H$2:$H$37000,"11*",'Accounting data'!$I$2:$I$37000,"8*",'Accounting data'!$J$2:$J$37000,"1*",'Accounting data'!$K$2:$K$37000,"66*")+SUMIFS('Accounting data'!$G$2:$G$37000,'Accounting data'!$H$2:$H$37000,"12*",'Accounting data'!$I$2:$I$37000,"8*",'Accounting data'!$J$2:$J$37000,"1*",'Accounting data'!$K$2:$K$37000,"66*")+SUMIFS('Accounting data'!$G$2:$G$37000,'Accounting data'!$H$2:$H$37000,"13*",'Accounting data'!$I$2:$I$37000,"8*",'Accounting data'!$J$2:$J$37000,"1*",'Accounting data'!$K$2:$K$37000,"66*")</f>
        <v>0</v>
      </c>
    </row>
    <row r="727" spans="1:5" x14ac:dyDescent="0.25">
      <c r="A727" s="524" t="s">
        <v>979</v>
      </c>
      <c r="B727" s="526">
        <v>900</v>
      </c>
      <c r="C727" s="524">
        <v>1000</v>
      </c>
      <c r="D727" s="524">
        <v>6600</v>
      </c>
      <c r="E727" s="525">
        <f>SUMIFS('Accounting data'!$G$2:$G$37000,'Accounting data'!$H$2:$H$37000,"11*",'Accounting data'!$I$2:$I$37000,"9*",'Accounting data'!$J$2:$J$37000,"1*",'Accounting data'!$K$2:$K$37000,"66*")+SUMIFS('Accounting data'!$G$2:$G$37000,'Accounting data'!$H$2:$H$37000,"12*",'Accounting data'!$I$2:$I$37000,"9*",'Accounting data'!$J$2:$J$37000,"1*",'Accounting data'!$K$2:$K$37000,"66*")+SUMIFS('Accounting data'!$G$2:$G$37000,'Accounting data'!$H$2:$H$37000,"13*",'Accounting data'!$I$2:$I$37000,"9*",'Accounting data'!$J$2:$J$37000,"1*",'Accounting data'!$K$2:$K$37000,"66*")</f>
        <v>0</v>
      </c>
    </row>
    <row r="728" spans="1:5" x14ac:dyDescent="0.25">
      <c r="A728" s="524" t="s">
        <v>979</v>
      </c>
      <c r="B728" s="526">
        <v>700</v>
      </c>
      <c r="C728" s="524">
        <v>2000</v>
      </c>
      <c r="D728" s="524">
        <v>6600</v>
      </c>
      <c r="E728" s="525">
        <f>SUMIFS('Accounting data'!$G$2:$G$37000,'Accounting data'!$H$2:$H$37000,"11*",'Accounting data'!$I$2:$I$37000,"7*",'Accounting data'!$J$2:$J$37000,"2*",'Accounting data'!$K$2:$K$37000,"66*")+SUMIFS('Accounting data'!$G$2:$G$37000,'Accounting data'!$H$2:$H$37000,"12*",'Accounting data'!$I$2:$I$37000,"7*",'Accounting data'!$J$2:$J$37000,"2*",'Accounting data'!$K$2:$K$37000,"66*")+SUMIFS('Accounting data'!$G$2:$G$37000,'Accounting data'!$H$2:$H$37000,"13*",'Accounting data'!$I$2:$I$37000,"7*",'Accounting data'!$J$2:$J$37000,"2*",'Accounting data'!$K$2:$K$37000,"66*")</f>
        <v>0</v>
      </c>
    </row>
    <row r="729" spans="1:5" x14ac:dyDescent="0.25">
      <c r="A729" s="524" t="s">
        <v>979</v>
      </c>
      <c r="B729" s="526">
        <v>800</v>
      </c>
      <c r="C729" s="524">
        <v>2000</v>
      </c>
      <c r="D729" s="524">
        <v>6600</v>
      </c>
      <c r="E729" s="525">
        <f>SUMIFS('Accounting data'!$G$2:$G$37000,'Accounting data'!$H$2:$H$37000,"11*",'Accounting data'!$I$2:$I$37000,"8*",'Accounting data'!$J$2:$J$37000,"2*",'Accounting data'!$K$2:$K$37000,"66*")+SUMIFS('Accounting data'!$G$2:$G$37000,'Accounting data'!$H$2:$H$37000,"12*",'Accounting data'!$I$2:$I$37000,"8*",'Accounting data'!$J$2:$J$37000,"2*",'Accounting data'!$K$2:$K$37000,"66*")+SUMIFS('Accounting data'!$G$2:$G$37000,'Accounting data'!$H$2:$H$37000,"13*",'Accounting data'!$I$2:$I$37000,"8*",'Accounting data'!$J$2:$J$37000,"2*",'Accounting data'!$K$2:$K$37000,"66*")</f>
        <v>0</v>
      </c>
    </row>
    <row r="730" spans="1:5" x14ac:dyDescent="0.25">
      <c r="A730" s="524" t="s">
        <v>979</v>
      </c>
      <c r="B730" s="526">
        <v>900</v>
      </c>
      <c r="C730" s="524">
        <v>2000</v>
      </c>
      <c r="D730" s="524">
        <v>6600</v>
      </c>
      <c r="E730" s="525">
        <f>SUMIFS('Accounting data'!$G$2:$G$37000,'Accounting data'!$H$2:$H$37000,"11*",'Accounting data'!$I$2:$I$37000,"9*",'Accounting data'!$J$2:$J$37000,"2*",'Accounting data'!$K$2:$K$37000,"66*")+SUMIFS('Accounting data'!$G$2:$G$37000,'Accounting data'!$H$2:$H$37000,"12*",'Accounting data'!$I$2:$I$37000,"9*",'Accounting data'!$J$2:$J$37000,"2*",'Accounting data'!$K$2:$K$37000,"66*")+SUMIFS('Accounting data'!$G$2:$G$37000,'Accounting data'!$H$2:$H$37000,"13*",'Accounting data'!$I$2:$I$37000,"9*",'Accounting data'!$J$2:$J$37000,"2*",'Accounting data'!$K$2:$K$37000,"66*")</f>
        <v>0</v>
      </c>
    </row>
    <row r="731" spans="1:5" x14ac:dyDescent="0.25">
      <c r="A731" s="524" t="s">
        <v>979</v>
      </c>
      <c r="B731" s="526">
        <v>700</v>
      </c>
      <c r="C731" s="524">
        <v>3000</v>
      </c>
      <c r="D731" s="524">
        <v>6600</v>
      </c>
      <c r="E731" s="525">
        <f>SUMIFS('Accounting data'!$G$2:$G$37000,'Accounting data'!$H$2:$H$37000,"11*",'Accounting data'!$I$2:$I$37000,"7*",'Accounting data'!$J$2:$J$37000,"3*",'Accounting data'!$K$2:$K$37000,"66*")+SUMIFS('Accounting data'!$G$2:$G$37000,'Accounting data'!$H$2:$H$37000,"12*",'Accounting data'!$I$2:$I$37000,"7*",'Accounting data'!$J$2:$J$37000,"3*",'Accounting data'!$K$2:$K$37000,"66*")+SUMIFS('Accounting data'!$G$2:$G$37000,'Accounting data'!$H$2:$H$37000,"13*",'Accounting data'!$I$2:$I$37000,"7*",'Accounting data'!$J$2:$J$37000,"3*",'Accounting data'!$K$2:$K$37000,"66*")</f>
        <v>0</v>
      </c>
    </row>
    <row r="732" spans="1:5" x14ac:dyDescent="0.25">
      <c r="A732" s="524" t="s">
        <v>979</v>
      </c>
      <c r="B732" s="526">
        <v>800</v>
      </c>
      <c r="C732" s="524">
        <v>3000</v>
      </c>
      <c r="D732" s="524">
        <v>6600</v>
      </c>
      <c r="E732" s="525">
        <f>SUMIFS('Accounting data'!$G$2:$G$37000,'Accounting data'!$H$2:$H$37000,"11*",'Accounting data'!$I$2:$I$37000,"8*",'Accounting data'!$J$2:$J$37000,"3*",'Accounting data'!$K$2:$K$37000,"66*")+SUMIFS('Accounting data'!$G$2:$G$37000,'Accounting data'!$H$2:$H$37000,"12*",'Accounting data'!$I$2:$I$37000,"8*",'Accounting data'!$J$2:$J$37000,"3*",'Accounting data'!$K$2:$K$37000,"66*")+SUMIFS('Accounting data'!$G$2:$G$37000,'Accounting data'!$H$2:$H$37000,"13*",'Accounting data'!$I$2:$I$37000,"8*",'Accounting data'!$J$2:$J$37000,"3*",'Accounting data'!$K$2:$K$37000,"66*")</f>
        <v>0</v>
      </c>
    </row>
    <row r="733" spans="1:5" x14ac:dyDescent="0.25">
      <c r="A733" s="524" t="s">
        <v>979</v>
      </c>
      <c r="B733" s="526">
        <v>900</v>
      </c>
      <c r="C733" s="524">
        <v>3000</v>
      </c>
      <c r="D733" s="524">
        <v>6600</v>
      </c>
      <c r="E733" s="525">
        <f>SUMIFS('Accounting data'!$G$2:$G$37000,'Accounting data'!$H$2:$H$37000,"11*",'Accounting data'!$I$2:$I$37000,"9*",'Accounting data'!$J$2:$J$37000,"3*",'Accounting data'!$K$2:$K$37000,"66*")+SUMIFS('Accounting data'!$G$2:$G$37000,'Accounting data'!$H$2:$H$37000,"12*",'Accounting data'!$I$2:$I$37000,"9*",'Accounting data'!$J$2:$J$37000,"3*",'Accounting data'!$K$2:$K$37000,"66*")+SUMIFS('Accounting data'!$G$2:$G$37000,'Accounting data'!$H$2:$H$37000,"13*",'Accounting data'!$I$2:$I$37000,"9*",'Accounting data'!$J$2:$J$37000,"3*",'Accounting data'!$K$2:$K$37000,"66*")</f>
        <v>0</v>
      </c>
    </row>
    <row r="734" spans="1:5" x14ac:dyDescent="0.25">
      <c r="A734" s="527" t="s">
        <v>1026</v>
      </c>
      <c r="B734" s="527"/>
      <c r="C734" s="527"/>
      <c r="D734" s="527"/>
      <c r="E734" s="529">
        <f>(E722+E723+E724)-(E725+E726+E727+E728+E729+E730+E731+E732+E733)</f>
        <v>196041</v>
      </c>
    </row>
    <row r="945" spans="1:5" x14ac:dyDescent="0.25">
      <c r="A945" s="524" t="s">
        <v>963</v>
      </c>
      <c r="B945" s="524" t="s">
        <v>963</v>
      </c>
      <c r="C945" s="524">
        <v>1000</v>
      </c>
      <c r="D945" s="533">
        <v>6810</v>
      </c>
      <c r="E945" s="525">
        <f>SUMIFS('Accounting data'!$G$2:$G$37000,'Accounting data'!$J$2:$J$37000,"1*",'Accounting data'!$K$2:$K$37000,"681*")</f>
        <v>0</v>
      </c>
    </row>
    <row r="946" spans="1:5" x14ac:dyDescent="0.25">
      <c r="A946" s="524" t="s">
        <v>964</v>
      </c>
      <c r="B946" s="524" t="s">
        <v>963</v>
      </c>
      <c r="C946" s="524">
        <v>1000</v>
      </c>
      <c r="D946" s="533">
        <v>6810</v>
      </c>
      <c r="E946" s="525">
        <f>SUMIFS('Accounting data'!$G$2:$G$37000,'Accounting data'!$H$2:$H$37000,"9999*",'Accounting data'!$J$2:$J$37000,"1*",'Accounting data'!$K$2:$K$37000,"681*")</f>
        <v>0</v>
      </c>
    </row>
    <row r="947" spans="1:5" x14ac:dyDescent="0.25">
      <c r="A947" s="524" t="s">
        <v>963</v>
      </c>
      <c r="B947" s="524" t="s">
        <v>965</v>
      </c>
      <c r="C947" s="524">
        <v>1000</v>
      </c>
      <c r="D947" s="533">
        <v>6810</v>
      </c>
      <c r="E947" s="525">
        <f>SUMIFS('Accounting data'!$G$2:$G$37000,'Accounting data'!$I$2:$I$37000,"7*",'Accounting data'!$J$2:$J$37000,"1*",'Accounting data'!$K$2:$K$37000,"681*")+SUMIFS('Accounting data'!$G$2:$G$37000,'Accounting data'!$I$2:$I$37000,"8*",'Accounting data'!$J$2:$J$37000,"1*",'Accounting data'!$K$2:$K$37000,"681*")+SUMIFS('Accounting data'!$G$2:$G$37000,'Accounting data'!$I$2:$I$37000,"9*",'Accounting data'!$J$2:$J$37000,"1*",'Accounting data'!$K$2:$K$37000,"681*")</f>
        <v>0</v>
      </c>
    </row>
    <row r="948" spans="1:5" x14ac:dyDescent="0.25">
      <c r="A948" s="526" t="s">
        <v>964</v>
      </c>
      <c r="B948" s="524" t="s">
        <v>965</v>
      </c>
      <c r="C948" s="524">
        <v>1000</v>
      </c>
      <c r="D948" s="533">
        <v>6810</v>
      </c>
      <c r="E948" s="525">
        <f>SUMIFS('Accounting data'!$G$2:$G$37000,'Accounting data'!$H$2:$H$37000,"9999*",'Accounting data'!$I$2:$I$37000,"7*",'Accounting data'!$J$2:$J$37000,"1*",'Accounting data'!$K$2:$K$37000,"681*")+SUMIFS('Accounting data'!$G$2:$G$37000,'Accounting data'!$H$2:$H$37000,"9999*",'Accounting data'!$I$2:$I$37000,"8*",'Accounting data'!$J$2:$J$37000,"1*",'Accounting data'!$K$2:$K$37000,"681*")+SUMIFS('Accounting data'!$G$2:$G$37000,'Accounting data'!$H$2:$H$37000,"9999*",'Accounting data'!$I$2:$I$37000,"9*",'Accounting data'!$J$2:$J$37000,"1*",'Accounting data'!$K$2:$K$37000,"681*")</f>
        <v>0</v>
      </c>
    </row>
    <row r="949" spans="1:5" x14ac:dyDescent="0.25">
      <c r="A949" s="524"/>
      <c r="B949" s="524"/>
      <c r="C949" s="524"/>
      <c r="D949" s="533"/>
      <c r="E949" s="525"/>
    </row>
    <row r="950" spans="1:5" x14ac:dyDescent="0.25">
      <c r="A950" s="524"/>
      <c r="B950" s="524"/>
      <c r="C950" s="524"/>
      <c r="D950" s="533"/>
      <c r="E950" s="525"/>
    </row>
    <row r="951" spans="1:5" x14ac:dyDescent="0.25">
      <c r="A951" s="527" t="s">
        <v>1027</v>
      </c>
      <c r="B951" s="527"/>
      <c r="C951" s="527"/>
      <c r="D951" s="527"/>
      <c r="E951" s="529">
        <f>((E945-E946-E947)+(E948+E949+E950))</f>
        <v>0</v>
      </c>
    </row>
    <row r="952" spans="1:5" x14ac:dyDescent="0.25">
      <c r="A952" s="524" t="s">
        <v>963</v>
      </c>
      <c r="B952" s="524" t="s">
        <v>963</v>
      </c>
      <c r="C952" s="524">
        <v>2100</v>
      </c>
      <c r="D952" s="533">
        <v>6810</v>
      </c>
      <c r="E952" s="525">
        <f>SUMIFS('Accounting data'!$G$2:$G$37000,'Accounting data'!$J$2:$J$37000,"21*",'Accounting data'!$K$2:$K$37000,"681*")</f>
        <v>0</v>
      </c>
    </row>
    <row r="953" spans="1:5" x14ac:dyDescent="0.25">
      <c r="A953" s="524" t="s">
        <v>964</v>
      </c>
      <c r="B953" s="524" t="s">
        <v>963</v>
      </c>
      <c r="C953" s="524">
        <v>2100</v>
      </c>
      <c r="D953" s="533">
        <v>6810</v>
      </c>
      <c r="E953" s="525">
        <f>SUMIFS('Accounting data'!$G$2:$G$37000,'Accounting data'!$H$2:$H$37000,"9999*",'Accounting data'!$J$2:$J$37000,"21*",'Accounting data'!$K$2:$K$37000,"681*")</f>
        <v>0</v>
      </c>
    </row>
    <row r="954" spans="1:5" x14ac:dyDescent="0.25">
      <c r="A954" s="524" t="s">
        <v>963</v>
      </c>
      <c r="B954" s="524" t="s">
        <v>965</v>
      </c>
      <c r="C954" s="524">
        <v>2100</v>
      </c>
      <c r="D954" s="533">
        <v>6810</v>
      </c>
      <c r="E954" s="525">
        <f>SUMIFS('Accounting data'!$G$2:$G$37000,'Accounting data'!$I$2:$I$37000,"7*",'Accounting data'!$J$2:$J$37000,"21*",'Accounting data'!$K$2:$K$37000,"681*")+SUMIFS('Accounting data'!$G$2:$G$37000,'Accounting data'!$I$2:$I$37000,"8*",'Accounting data'!$J$2:$J$37000,"21*",'Accounting data'!$K$2:$K$37000,"681*")+SUMIFS('Accounting data'!$G$2:$G$37000,'Accounting data'!$I$2:$I$37000,"9*",'Accounting data'!$J$2:$J$37000,"21*",'Accounting data'!$K$2:$K$37000,"681*")</f>
        <v>0</v>
      </c>
    </row>
    <row r="955" spans="1:5" x14ac:dyDescent="0.25">
      <c r="A955" s="526" t="s">
        <v>964</v>
      </c>
      <c r="B955" s="524" t="s">
        <v>965</v>
      </c>
      <c r="C955" s="524">
        <v>2100</v>
      </c>
      <c r="D955" s="533">
        <v>6810</v>
      </c>
      <c r="E955" s="525">
        <f>SUMIFS('Accounting data'!$G$2:$G$37000,'Accounting data'!$H$2:$H$37000,"9999*",'Accounting data'!$I$2:$I$37000,"7*",'Accounting data'!$J$2:$J$37000,"21*",'Accounting data'!$K$2:$K$37000,"681*")+SUMIFS('Accounting data'!$G$2:$G$37000,'Accounting data'!$H$2:$H$37000,"9999*",'Accounting data'!$I$2:$I$37000,"8*",'Accounting data'!$J$2:$J$37000,"21*",'Accounting data'!$K$2:$K$37000,"681*")+SUMIFS('Accounting data'!$G$2:$G$37000,'Accounting data'!$H$2:$H$37000,"9999*",'Accounting data'!$I$2:$I$37000,"9*",'Accounting data'!$J$2:$J$37000,"21*",'Accounting data'!$K$2:$K$37000,"681*")</f>
        <v>0</v>
      </c>
    </row>
    <row r="956" spans="1:5" x14ac:dyDescent="0.25">
      <c r="A956" s="524"/>
      <c r="B956" s="524"/>
      <c r="C956" s="524"/>
      <c r="D956" s="533"/>
      <c r="E956" s="525"/>
    </row>
    <row r="957" spans="1:5" x14ac:dyDescent="0.25">
      <c r="A957" s="524"/>
      <c r="B957" s="524"/>
      <c r="C957" s="524"/>
      <c r="D957" s="533"/>
      <c r="E957" s="525"/>
    </row>
    <row r="958" spans="1:5" x14ac:dyDescent="0.25">
      <c r="A958" s="527" t="s">
        <v>1028</v>
      </c>
      <c r="B958" s="527"/>
      <c r="C958" s="527"/>
      <c r="D958" s="527"/>
      <c r="E958" s="529">
        <f>(E952-E953-E954)+(E955+E956+E957)</f>
        <v>0</v>
      </c>
    </row>
    <row r="959" spans="1:5" x14ac:dyDescent="0.25">
      <c r="A959" s="524" t="s">
        <v>963</v>
      </c>
      <c r="B959" s="524" t="s">
        <v>963</v>
      </c>
      <c r="C959" s="524">
        <v>2200</v>
      </c>
      <c r="D959" s="533">
        <v>6810</v>
      </c>
      <c r="E959" s="525">
        <f>SUMIFS('Accounting data'!$G$2:$G$37000,'Accounting data'!$J$2:$J$37000,"22*",'Accounting data'!$K$2:$K$37000,"681*")</f>
        <v>0</v>
      </c>
    </row>
    <row r="960" spans="1:5" x14ac:dyDescent="0.25">
      <c r="A960" s="524" t="s">
        <v>964</v>
      </c>
      <c r="B960" s="524" t="s">
        <v>963</v>
      </c>
      <c r="C960" s="524">
        <v>2200</v>
      </c>
      <c r="D960" s="533">
        <v>6810</v>
      </c>
      <c r="E960" s="525">
        <f>SUMIFS('Accounting data'!$G$2:$G$37000,'Accounting data'!$H$2:$H$37000,"9999*",'Accounting data'!$J$2:$J$37000,"22*",'Accounting data'!$K$2:$K$37000,"681*")</f>
        <v>0</v>
      </c>
    </row>
    <row r="961" spans="1:5" x14ac:dyDescent="0.25">
      <c r="A961" s="524" t="s">
        <v>963</v>
      </c>
      <c r="B961" s="524" t="s">
        <v>965</v>
      </c>
      <c r="C961" s="524">
        <v>2200</v>
      </c>
      <c r="D961" s="533">
        <v>6810</v>
      </c>
      <c r="E961" s="525">
        <f>SUMIFS('Accounting data'!$G$2:$G$37000,'Accounting data'!$I$2:$I$37000,"7*",'Accounting data'!$J$2:$J$37000,"22*",'Accounting data'!$K$2:$K$37000,"681*")+SUMIFS('Accounting data'!$G$2:$G$37000,'Accounting data'!$I$2:$I$37000,"8*",'Accounting data'!$J$2:$J$37000,"22*",'Accounting data'!$K$2:$K$37000,"681*")+SUMIFS('Accounting data'!$G$2:$G$37000,'Accounting data'!$I$2:$I$37000,"9*",'Accounting data'!$J$2:$J$37000,"22*",'Accounting data'!$K$2:$K$37000,"681*")</f>
        <v>0</v>
      </c>
    </row>
    <row r="962" spans="1:5" x14ac:dyDescent="0.25">
      <c r="A962" s="526" t="s">
        <v>964</v>
      </c>
      <c r="B962" s="524" t="s">
        <v>965</v>
      </c>
      <c r="C962" s="524">
        <v>2200</v>
      </c>
      <c r="D962" s="533">
        <v>6810</v>
      </c>
      <c r="E962" s="525">
        <f>SUMIFS('Accounting data'!$G$2:$G$37000,'Accounting data'!$H$2:$H$37000,"9999*",'Accounting data'!$I$2:$I$37000,"7*",'Accounting data'!$J$2:$J$37000,"22*",'Accounting data'!$K$2:$K$37000,"681*")+SUMIFS('Accounting data'!$G$2:$G$37000,'Accounting data'!$H$2:$H$37000,"9999*",'Accounting data'!$I$2:$I$37000,"8*",'Accounting data'!$J$2:$J$37000,"22*",'Accounting data'!$K$2:$K$37000,"681*")+SUMIFS('Accounting data'!$G$2:$G$37000,'Accounting data'!$H$2:$H$37000,"9999*",'Accounting data'!$I$2:$I$37000,"9*",'Accounting data'!$J$2:$J$37000,"22*",'Accounting data'!$K$2:$K$37000,"681*")</f>
        <v>0</v>
      </c>
    </row>
    <row r="963" spans="1:5" x14ac:dyDescent="0.25">
      <c r="A963" s="524"/>
      <c r="B963" s="524"/>
      <c r="C963" s="524"/>
      <c r="D963" s="533"/>
      <c r="E963" s="525"/>
    </row>
    <row r="964" spans="1:5" x14ac:dyDescent="0.25">
      <c r="A964" s="524"/>
      <c r="B964" s="524"/>
      <c r="C964" s="524"/>
      <c r="D964" s="533"/>
      <c r="E964" s="525"/>
    </row>
    <row r="965" spans="1:5" x14ac:dyDescent="0.25">
      <c r="A965" s="527" t="s">
        <v>1029</v>
      </c>
      <c r="B965" s="527"/>
      <c r="C965" s="527"/>
      <c r="D965" s="527"/>
      <c r="E965" s="529">
        <f>(E959-E960-E961)+(E962+E963+E964)</f>
        <v>0</v>
      </c>
    </row>
    <row r="966" spans="1:5" x14ac:dyDescent="0.25">
      <c r="A966" s="524" t="s">
        <v>963</v>
      </c>
      <c r="B966" s="524" t="s">
        <v>963</v>
      </c>
      <c r="C966" s="524">
        <v>2300</v>
      </c>
      <c r="D966" s="533">
        <v>6810</v>
      </c>
      <c r="E966" s="525">
        <f>SUMIFS('Accounting data'!$G$2:$G$37000,'Accounting data'!$J$2:$J$37000,"23*",'Accounting data'!$K$2:$K$37000,"681*")</f>
        <v>0</v>
      </c>
    </row>
    <row r="967" spans="1:5" x14ac:dyDescent="0.25">
      <c r="A967" s="524" t="s">
        <v>964</v>
      </c>
      <c r="B967" s="524" t="s">
        <v>963</v>
      </c>
      <c r="C967" s="524">
        <v>2300</v>
      </c>
      <c r="D967" s="533">
        <v>6810</v>
      </c>
      <c r="E967" s="525">
        <f>SUMIFS('Accounting data'!$G$2:$G$37000,'Accounting data'!$H$2:$H$37000,"9999*",'Accounting data'!$J$2:$J$37000,"23*",'Accounting data'!$K$2:$K$37000,"681*")</f>
        <v>0</v>
      </c>
    </row>
    <row r="968" spans="1:5" x14ac:dyDescent="0.25">
      <c r="A968" s="524" t="s">
        <v>963</v>
      </c>
      <c r="B968" s="524" t="s">
        <v>965</v>
      </c>
      <c r="C968" s="524">
        <v>2300</v>
      </c>
      <c r="D968" s="533">
        <v>6810</v>
      </c>
      <c r="E968" s="525">
        <f>SUMIFS('Accounting data'!$G$2:$G$37000,'Accounting data'!$I$2:$I$37000,"7*",'Accounting data'!$J$2:$J$37000,"23*",'Accounting data'!$K$2:$K$37000,"681*")+SUMIFS('Accounting data'!$G$2:$G$37000,'Accounting data'!$I$2:$I$37000,"8*",'Accounting data'!$J$2:$J$37000,"23*",'Accounting data'!$K$2:$K$37000,"681*")+SUMIFS('Accounting data'!$G$2:$G$37000,'Accounting data'!$I$2:$I$37000,"9*",'Accounting data'!$J$2:$J$37000,"23*",'Accounting data'!$K$2:$K$37000,"681*")</f>
        <v>0</v>
      </c>
    </row>
    <row r="969" spans="1:5" x14ac:dyDescent="0.25">
      <c r="A969" s="526" t="s">
        <v>964</v>
      </c>
      <c r="B969" s="524" t="s">
        <v>965</v>
      </c>
      <c r="C969" s="524">
        <v>2300</v>
      </c>
      <c r="D969" s="533">
        <v>6810</v>
      </c>
      <c r="E969" s="525">
        <f>SUMIFS('Accounting data'!$G$2:$G$37000,'Accounting data'!$H$2:$H$37000,"9999*",'Accounting data'!$I$2:$I$37000,"7*",'Accounting data'!$J$2:$J$37000,"23*",'Accounting data'!$K$2:$K$37000,"681*")+SUMIFS('Accounting data'!$G$2:$G$37000,'Accounting data'!$H$2:$H$37000,"9999*",'Accounting data'!$I$2:$I$37000,"8*",'Accounting data'!$J$2:$J$37000,"23*",'Accounting data'!$K$2:$K$37000,"681*")+SUMIFS('Accounting data'!$G$2:$G$37000,'Accounting data'!$H$2:$H$37000,"9999*",'Accounting data'!$I$2:$I$37000,"9*",'Accounting data'!$J$2:$J$37000,"23*",'Accounting data'!$K$2:$K$37000,"681*")</f>
        <v>0</v>
      </c>
    </row>
    <row r="970" spans="1:5" x14ac:dyDescent="0.25">
      <c r="A970" s="524"/>
      <c r="B970" s="524"/>
      <c r="C970" s="524"/>
      <c r="D970" s="533"/>
      <c r="E970" s="525"/>
    </row>
    <row r="971" spans="1:5" x14ac:dyDescent="0.25">
      <c r="A971" s="524"/>
      <c r="B971" s="524"/>
      <c r="C971" s="524"/>
      <c r="D971" s="533"/>
      <c r="E971" s="525"/>
    </row>
    <row r="972" spans="1:5" x14ac:dyDescent="0.25">
      <c r="A972" s="527" t="s">
        <v>1030</v>
      </c>
      <c r="B972" s="527"/>
      <c r="C972" s="527"/>
      <c r="D972" s="527"/>
      <c r="E972" s="529">
        <f>(E966-E967-E968)+(E969+E970+E971)</f>
        <v>0</v>
      </c>
    </row>
    <row r="973" spans="1:5" x14ac:dyDescent="0.25">
      <c r="A973" s="524" t="s">
        <v>963</v>
      </c>
      <c r="B973" s="524" t="s">
        <v>963</v>
      </c>
      <c r="C973" s="524">
        <v>2400</v>
      </c>
      <c r="D973" s="533">
        <v>6810</v>
      </c>
      <c r="E973" s="525">
        <f>SUMIFS('Accounting data'!$G$2:$G$37000,'Accounting data'!$J$2:$J$37000,"24*",'Accounting data'!$K$2:$K$37000,"681*")</f>
        <v>0</v>
      </c>
    </row>
    <row r="974" spans="1:5" x14ac:dyDescent="0.25">
      <c r="A974" s="524" t="s">
        <v>964</v>
      </c>
      <c r="B974" s="524" t="s">
        <v>963</v>
      </c>
      <c r="C974" s="524">
        <v>2400</v>
      </c>
      <c r="D974" s="533">
        <v>6810</v>
      </c>
      <c r="E974" s="525">
        <f>SUMIFS('Accounting data'!$G$2:$G$37000,'Accounting data'!$H$2:$H$37000,"9999*",'Accounting data'!$J$2:$J$37000,"24*",'Accounting data'!$K$2:$K$37000,"681*")</f>
        <v>0</v>
      </c>
    </row>
    <row r="975" spans="1:5" x14ac:dyDescent="0.25">
      <c r="A975" s="524" t="s">
        <v>963</v>
      </c>
      <c r="B975" s="524" t="s">
        <v>965</v>
      </c>
      <c r="C975" s="524">
        <v>2400</v>
      </c>
      <c r="D975" s="533">
        <v>6810</v>
      </c>
      <c r="E975" s="525">
        <f>SUMIFS('Accounting data'!$G$2:$G$37000,'Accounting data'!$I$2:$I$37000,"7*",'Accounting data'!$J$2:$J$37000,"24*",'Accounting data'!$K$2:$K$37000,"681*")+SUMIFS('Accounting data'!$G$2:$G$37000,'Accounting data'!$I$2:$I$37000,"8*",'Accounting data'!$J$2:$J$37000,"24*",'Accounting data'!$K$2:$K$37000,"681*")+SUMIFS('Accounting data'!$G$2:$G$37000,'Accounting data'!$I$2:$I$37000,"9*",'Accounting data'!$J$2:$J$37000,"24*",'Accounting data'!$K$2:$K$37000,"681*")</f>
        <v>0</v>
      </c>
    </row>
    <row r="976" spans="1:5" x14ac:dyDescent="0.25">
      <c r="A976" s="526" t="s">
        <v>964</v>
      </c>
      <c r="B976" s="524" t="s">
        <v>965</v>
      </c>
      <c r="C976" s="524">
        <v>2400</v>
      </c>
      <c r="D976" s="533">
        <v>6810</v>
      </c>
      <c r="E976" s="525">
        <f>SUMIFS('Accounting data'!$G$2:$G$37000,'Accounting data'!$H$2:$H$37000,"9999*",'Accounting data'!$I$2:$I$37000,"7*",'Accounting data'!$J$2:$J$37000,"24*",'Accounting data'!$K$2:$K$37000,"681*")+SUMIFS('Accounting data'!$G$2:$G$37000,'Accounting data'!$H$2:$H$37000,"9999*",'Accounting data'!$I$2:$I$37000,"8*",'Accounting data'!$J$2:$J$37000,"24*",'Accounting data'!$K$2:$K$37000,"681*")+SUMIFS('Accounting data'!$G$2:$G$37000,'Accounting data'!$H$2:$H$37000,"9999*",'Accounting data'!$I$2:$I$37000,"9*",'Accounting data'!$J$2:$J$37000,"24*",'Accounting data'!$K$2:$K$37000,"681*")</f>
        <v>0</v>
      </c>
    </row>
    <row r="979" spans="1:5" x14ac:dyDescent="0.25">
      <c r="A979" s="527" t="s">
        <v>1031</v>
      </c>
      <c r="B979" s="527"/>
      <c r="C979" s="527"/>
      <c r="D979" s="527"/>
      <c r="E979" s="529">
        <f>(E973-E974-E975)+(E976+E977+E978)</f>
        <v>0</v>
      </c>
    </row>
    <row r="980" spans="1:5" x14ac:dyDescent="0.25">
      <c r="A980" s="524" t="s">
        <v>963</v>
      </c>
      <c r="B980" s="524" t="s">
        <v>963</v>
      </c>
      <c r="C980" s="524">
        <v>2500</v>
      </c>
      <c r="D980" s="533">
        <v>6810</v>
      </c>
      <c r="E980" s="525">
        <f>SUMIFS('Accounting data'!$G$2:$G$37000,'Accounting data'!$J$2:$J$37000,"25*",'Accounting data'!$K$2:$K$37000,"681*")</f>
        <v>0</v>
      </c>
    </row>
    <row r="981" spans="1:5" x14ac:dyDescent="0.25">
      <c r="A981" s="524" t="s">
        <v>964</v>
      </c>
      <c r="B981" s="524" t="s">
        <v>963</v>
      </c>
      <c r="C981" s="524">
        <v>2500</v>
      </c>
      <c r="D981" s="533">
        <v>6810</v>
      </c>
      <c r="E981" s="525">
        <f>SUMIFS('Accounting data'!$G$2:$G$37000,'Accounting data'!$H$2:$H$37000,"9999*",'Accounting data'!$J$2:$J$37000,"25*",'Accounting data'!$K$2:$K$37000,"681*")</f>
        <v>0</v>
      </c>
    </row>
    <row r="982" spans="1:5" x14ac:dyDescent="0.25">
      <c r="A982" s="524" t="s">
        <v>963</v>
      </c>
      <c r="B982" s="524" t="s">
        <v>965</v>
      </c>
      <c r="C982" s="524">
        <v>2500</v>
      </c>
      <c r="D982" s="533">
        <v>6810</v>
      </c>
      <c r="E982" s="525">
        <f>SUMIFS('Accounting data'!$G$2:$G$37000,'Accounting data'!$I$2:$I$37000,"7*",'Accounting data'!$J$2:$J$37000,"25*",'Accounting data'!$K$2:$K$37000,"681*")+SUMIFS('Accounting data'!$G$2:$G$37000,'Accounting data'!$I$2:$I$37000,"8*",'Accounting data'!$J$2:$J$37000,"25*",'Accounting data'!$K$2:$K$37000,"681*")+SUMIFS('Accounting data'!$G$2:$G$37000,'Accounting data'!$I$2:$I$37000,"9*",'Accounting data'!$J$2:$J$37000,"25*",'Accounting data'!$K$2:$K$37000,"681*")</f>
        <v>0</v>
      </c>
    </row>
    <row r="983" spans="1:5" x14ac:dyDescent="0.25">
      <c r="A983" s="526" t="s">
        <v>964</v>
      </c>
      <c r="B983" s="524" t="s">
        <v>965</v>
      </c>
      <c r="C983" s="524">
        <v>2500</v>
      </c>
      <c r="D983" s="533">
        <v>6810</v>
      </c>
      <c r="E983" s="525">
        <f>SUMIFS('Accounting data'!$G$2:$G$37000,'Accounting data'!$H$2:$H$37000,"9999*",'Accounting data'!$I$2:$I$37000,"7*",'Accounting data'!$J$2:$J$37000,"25*",'Accounting data'!$K$2:$K$37000,"681*")+SUMIFS('Accounting data'!$G$2:$G$37000,'Accounting data'!$H$2:$H$37000,"9999*",'Accounting data'!$I$2:$I$37000,"8*",'Accounting data'!$J$2:$J$37000,"25*",'Accounting data'!$K$2:$K$37000,"681*")+SUMIFS('Accounting data'!$G$2:$G$37000,'Accounting data'!$H$2:$H$37000,"9999*",'Accounting data'!$I$2:$I$37000,"9*",'Accounting data'!$J$2:$J$37000,"25*",'Accounting data'!$K$2:$K$37000,"681*")</f>
        <v>0</v>
      </c>
    </row>
    <row r="984" spans="1:5" x14ac:dyDescent="0.25">
      <c r="A984" s="524"/>
      <c r="B984" s="524"/>
      <c r="C984" s="524"/>
      <c r="D984" s="533"/>
      <c r="E984" s="525"/>
    </row>
    <row r="985" spans="1:5" x14ac:dyDescent="0.25">
      <c r="A985" s="524"/>
      <c r="B985" s="524"/>
      <c r="C985" s="524"/>
      <c r="D985" s="533"/>
      <c r="E985" s="525"/>
    </row>
    <row r="986" spans="1:5" x14ac:dyDescent="0.25">
      <c r="A986" s="527" t="s">
        <v>1032</v>
      </c>
      <c r="B986" s="527"/>
      <c r="C986" s="527"/>
      <c r="D986" s="527"/>
      <c r="E986" s="529">
        <f>(E980-E981-E982)+(E983+E984+E985)</f>
        <v>0</v>
      </c>
    </row>
    <row r="987" spans="1:5" x14ac:dyDescent="0.25">
      <c r="A987" s="524" t="s">
        <v>963</v>
      </c>
      <c r="B987" s="524" t="s">
        <v>963</v>
      </c>
      <c r="C987" s="524">
        <v>2900</v>
      </c>
      <c r="D987" s="533">
        <v>6810</v>
      </c>
      <c r="E987" s="525">
        <f>SUMIFS('Accounting data'!$G$2:$G$37000,'Accounting data'!$J$2:$J$37000,"29*",'Accounting data'!$K$2:$K$37000,"681*")</f>
        <v>0</v>
      </c>
    </row>
    <row r="988" spans="1:5" x14ac:dyDescent="0.25">
      <c r="A988" s="524" t="s">
        <v>964</v>
      </c>
      <c r="B988" s="524" t="s">
        <v>963</v>
      </c>
      <c r="C988" s="524">
        <v>2900</v>
      </c>
      <c r="D988" s="533">
        <v>6810</v>
      </c>
      <c r="E988" s="525">
        <f>SUMIFS('Accounting data'!$G$2:$G$37000,'Accounting data'!$H$2:$H$37000,"9999*",'Accounting data'!$J$2:$J$37000,"29*",'Accounting data'!$K$2:$K$37000,"681*")</f>
        <v>0</v>
      </c>
    </row>
    <row r="989" spans="1:5" x14ac:dyDescent="0.25">
      <c r="A989" s="524" t="s">
        <v>963</v>
      </c>
      <c r="B989" s="524" t="s">
        <v>965</v>
      </c>
      <c r="C989" s="524">
        <v>2900</v>
      </c>
      <c r="D989" s="533">
        <v>6810</v>
      </c>
      <c r="E989" s="525">
        <f>SUMIFS('Accounting data'!$G$2:$G$37000,'Accounting data'!$I$2:$I$37000,"7*",'Accounting data'!$J$2:$J$37000,"29*",'Accounting data'!$K$2:$K$37000,"681*")+SUMIFS('Accounting data'!$G$2:$G$37000,'Accounting data'!$I$2:$I$37000,"8*",'Accounting data'!$J$2:$J$37000,"29*",'Accounting data'!$K$2:$K$37000,"681*")+SUMIFS('Accounting data'!$G$2:$G$37000,'Accounting data'!$I$2:$I$37000,"9*",'Accounting data'!$J$2:$J$37000,"29*",'Accounting data'!$K$2:$K$37000,"681*")</f>
        <v>0</v>
      </c>
    </row>
    <row r="990" spans="1:5" x14ac:dyDescent="0.25">
      <c r="A990" s="526" t="s">
        <v>964</v>
      </c>
      <c r="B990" s="524" t="s">
        <v>965</v>
      </c>
      <c r="C990" s="524">
        <v>2900</v>
      </c>
      <c r="D990" s="533">
        <v>6810</v>
      </c>
      <c r="E990" s="525">
        <f>SUMIFS('Accounting data'!$G$2:$G$37000,'Accounting data'!$H$2:$H$37000,"9999*",'Accounting data'!$I$2:$I$37000,"7*",'Accounting data'!$J$2:$J$37000,"29*",'Accounting data'!$K$2:$K$37000,"681*")+SUMIFS('Accounting data'!$G$2:$G$37000,'Accounting data'!$H$2:$H$37000,"9999*",'Accounting data'!$I$2:$I$37000,"8*",'Accounting data'!$J$2:$J$37000,"29*",'Accounting data'!$K$2:$K$37000,"681*")+SUMIFS('Accounting data'!$G$2:$G$37000,'Accounting data'!$H$2:$H$37000,"9999*",'Accounting data'!$I$2:$I$37000,"9*",'Accounting data'!$J$2:$J$37000,"29*",'Accounting data'!$K$2:$K$37000,"681*")</f>
        <v>0</v>
      </c>
    </row>
    <row r="993" spans="1:5" x14ac:dyDescent="0.25">
      <c r="A993" s="527" t="s">
        <v>1033</v>
      </c>
      <c r="B993" s="527"/>
      <c r="C993" s="527"/>
      <c r="D993" s="527"/>
      <c r="E993" s="529">
        <f>(E987-E988-E989)+(E990+E991+E992)</f>
        <v>0</v>
      </c>
    </row>
    <row r="994" spans="1:5" x14ac:dyDescent="0.25">
      <c r="A994" s="524" t="s">
        <v>963</v>
      </c>
      <c r="B994" s="524" t="s">
        <v>963</v>
      </c>
      <c r="C994" s="524">
        <v>2600</v>
      </c>
      <c r="D994" s="533">
        <v>6810</v>
      </c>
      <c r="E994" s="525">
        <f>SUMIFS('Accounting data'!$G$2:$G$37000,'Accounting data'!$J$2:$J$37000,"26*",'Accounting data'!$K$2:$K$37000,"681*")</f>
        <v>0</v>
      </c>
    </row>
    <row r="995" spans="1:5" x14ac:dyDescent="0.25">
      <c r="A995" s="524" t="s">
        <v>964</v>
      </c>
      <c r="B995" s="524" t="s">
        <v>963</v>
      </c>
      <c r="C995" s="524">
        <v>2600</v>
      </c>
      <c r="D995" s="533">
        <v>6810</v>
      </c>
      <c r="E995" s="525">
        <f>SUMIFS('Accounting data'!$G$2:$G$37000,'Accounting data'!$H$2:$H$37000,"9999*",'Accounting data'!$J$2:$J$37000,"26*",'Accounting data'!$K$2:$K$37000,"681*")</f>
        <v>0</v>
      </c>
    </row>
    <row r="996" spans="1:5" x14ac:dyDescent="0.25">
      <c r="A996" s="524" t="s">
        <v>963</v>
      </c>
      <c r="B996" s="524" t="s">
        <v>965</v>
      </c>
      <c r="C996" s="524">
        <v>2600</v>
      </c>
      <c r="D996" s="533">
        <v>6810</v>
      </c>
      <c r="E996" s="525">
        <f>SUMIFS('Accounting data'!$G$2:$G$37000,'Accounting data'!$I$2:$I$37000,"7*",'Accounting data'!$J$2:$J$37000,"26*",'Accounting data'!$K$2:$K$37000,"681*")+SUMIFS('Accounting data'!$G$2:$G$37000,'Accounting data'!$I$2:$I$37000,"8*",'Accounting data'!$J$2:$J$37000,"26*",'Accounting data'!$K$2:$K$37000,"681*")+SUMIFS('Accounting data'!$G$2:$G$37000,'Accounting data'!$I$2:$I$37000,"9*",'Accounting data'!$J$2:$J$37000,"26*",'Accounting data'!$K$2:$K$37000,"681*")</f>
        <v>0</v>
      </c>
    </row>
    <row r="997" spans="1:5" x14ac:dyDescent="0.25">
      <c r="A997" s="526" t="s">
        <v>964</v>
      </c>
      <c r="B997" s="524" t="s">
        <v>965</v>
      </c>
      <c r="C997" s="524">
        <v>2600</v>
      </c>
      <c r="D997" s="533">
        <v>6810</v>
      </c>
      <c r="E997" s="525">
        <f>SUMIFS('Accounting data'!$G$2:$G$37000,'Accounting data'!$H$2:$H$37000,"9999*",'Accounting data'!$I$2:$I$37000,"7*",'Accounting data'!$J$2:$J$37000,"26*",'Accounting data'!$K$2:$K$37000,"681*")+SUMIFS('Accounting data'!$G$2:$G$37000,'Accounting data'!$H$2:$H$37000,"9999*",'Accounting data'!$I$2:$I$37000,"8*",'Accounting data'!$J$2:$J$37000,"26*",'Accounting data'!$K$2:$K$37000,"681*")+SUMIFS('Accounting data'!$G$2:$G$37000,'Accounting data'!$H$2:$H$37000,"9999*",'Accounting data'!$I$2:$I$37000,"9*",'Accounting data'!$J$2:$J$37000,"26*",'Accounting data'!$K$2:$K$37000,"681*")</f>
        <v>0</v>
      </c>
    </row>
    <row r="998" spans="1:5" x14ac:dyDescent="0.25">
      <c r="A998" s="524"/>
      <c r="B998" s="524"/>
      <c r="C998" s="524"/>
      <c r="D998" s="533"/>
      <c r="E998" s="525"/>
    </row>
    <row r="999" spans="1:5" x14ac:dyDescent="0.25">
      <c r="A999" s="524"/>
      <c r="B999" s="524"/>
      <c r="C999" s="524"/>
      <c r="D999" s="533"/>
      <c r="E999" s="525"/>
    </row>
    <row r="1000" spans="1:5" x14ac:dyDescent="0.25">
      <c r="A1000" s="527" t="s">
        <v>1034</v>
      </c>
      <c r="B1000" s="527"/>
      <c r="C1000" s="527"/>
      <c r="D1000" s="527"/>
      <c r="E1000" s="529">
        <f>(E994-E995-E996)+(E997+E998+E999)</f>
        <v>0</v>
      </c>
    </row>
    <row r="1001" spans="1:5" x14ac:dyDescent="0.25">
      <c r="A1001" s="524" t="s">
        <v>963</v>
      </c>
      <c r="B1001" s="524" t="s">
        <v>963</v>
      </c>
      <c r="C1001" s="524">
        <v>2700</v>
      </c>
      <c r="D1001" s="533">
        <v>6810</v>
      </c>
      <c r="E1001" s="525">
        <f>SUMIFS('Accounting data'!$G$2:$G$37000,'Accounting data'!$J$2:$J$37000,"27*",'Accounting data'!$K$2:$K$37000,"681*")</f>
        <v>0</v>
      </c>
    </row>
    <row r="1002" spans="1:5" x14ac:dyDescent="0.25">
      <c r="A1002" s="524" t="s">
        <v>964</v>
      </c>
      <c r="B1002" s="524" t="s">
        <v>963</v>
      </c>
      <c r="C1002" s="524">
        <v>2700</v>
      </c>
      <c r="D1002" s="533">
        <v>6810</v>
      </c>
      <c r="E1002" s="525">
        <f>SUMIFS('Accounting data'!$G$2:$G$37000,'Accounting data'!$H$2:$H$37000,"9999*",'Accounting data'!$J$2:$J$37000,"27*",'Accounting data'!$K$2:$K$37000,"681*")</f>
        <v>0</v>
      </c>
    </row>
    <row r="1003" spans="1:5" x14ac:dyDescent="0.25">
      <c r="A1003" s="524" t="s">
        <v>963</v>
      </c>
      <c r="B1003" s="524" t="s">
        <v>965</v>
      </c>
      <c r="C1003" s="524">
        <v>2700</v>
      </c>
      <c r="D1003" s="533">
        <v>6810</v>
      </c>
      <c r="E1003" s="525">
        <f>SUMIFS('Accounting data'!$G$2:$G$37000,'Accounting data'!$I$2:$I$37000,"7*",'Accounting data'!$J$2:$J$37000,"27*",'Accounting data'!$K$2:$K$37000,"681*")+SUMIFS('Accounting data'!$G$2:$G$37000,'Accounting data'!$I$2:$I$37000,"8*",'Accounting data'!$J$2:$J$37000,"27*",'Accounting data'!$K$2:$K$37000,"681*")+SUMIFS('Accounting data'!$G$2:$G$37000,'Accounting data'!$I$2:$I$37000,"9*",'Accounting data'!$J$2:$J$37000,"27*",'Accounting data'!$K$2:$K$37000,"681*")</f>
        <v>0</v>
      </c>
    </row>
    <row r="1004" spans="1:5" x14ac:dyDescent="0.25">
      <c r="A1004" s="526" t="s">
        <v>964</v>
      </c>
      <c r="B1004" s="524" t="s">
        <v>965</v>
      </c>
      <c r="C1004" s="524">
        <v>2700</v>
      </c>
      <c r="D1004" s="533">
        <v>6810</v>
      </c>
      <c r="E1004" s="525">
        <f>SUMIFS('Accounting data'!$G$2:$G$37000,'Accounting data'!$H$2:$H$37000,"9999*",'Accounting data'!$I$2:$I$37000,"7*",'Accounting data'!$J$2:$J$37000,"27*",'Accounting data'!$K$2:$K$37000,"681*")+SUMIFS('Accounting data'!$G$2:$G$37000,'Accounting data'!$H$2:$H$37000,"9999*",'Accounting data'!$I$2:$I$37000,"8*",'Accounting data'!$J$2:$J$37000,"27*",'Accounting data'!$K$2:$K$37000,"681*")+SUMIFS('Accounting data'!$G$2:$G$37000,'Accounting data'!$H$2:$H$37000,"9999*",'Accounting data'!$I$2:$I$37000,"9*",'Accounting data'!$J$2:$J$37000,"27*",'Accounting data'!$K$2:$K$37000,"681*")</f>
        <v>0</v>
      </c>
    </row>
    <row r="1005" spans="1:5" x14ac:dyDescent="0.25">
      <c r="A1005" s="524"/>
      <c r="B1005" s="524"/>
      <c r="C1005" s="524"/>
      <c r="D1005" s="533"/>
      <c r="E1005" s="525"/>
    </row>
    <row r="1006" spans="1:5" x14ac:dyDescent="0.25">
      <c r="A1006" s="524"/>
      <c r="B1006" s="524"/>
      <c r="C1006" s="524"/>
      <c r="D1006" s="533"/>
      <c r="E1006" s="525"/>
    </row>
    <row r="1007" spans="1:5" x14ac:dyDescent="0.25">
      <c r="A1007" s="527" t="s">
        <v>1035</v>
      </c>
      <c r="B1007" s="527"/>
      <c r="C1007" s="527"/>
      <c r="D1007" s="527"/>
      <c r="E1007" s="529">
        <f>(E1001-E1002-E1003)+(E1004+E1005+E1006)</f>
        <v>0</v>
      </c>
    </row>
    <row r="1008" spans="1:5" x14ac:dyDescent="0.25">
      <c r="A1008" s="524" t="s">
        <v>963</v>
      </c>
      <c r="B1008" s="524" t="s">
        <v>963</v>
      </c>
      <c r="C1008" s="524">
        <v>3100</v>
      </c>
      <c r="D1008" s="533">
        <v>6810</v>
      </c>
      <c r="E1008" s="525">
        <f>SUMIFS('Accounting data'!$G$2:$G$37000,'Accounting data'!$J$2:$J$37000,"31*",'Accounting data'!$K$2:$K$37000,"681*")</f>
        <v>0</v>
      </c>
    </row>
    <row r="1009" spans="1:5" x14ac:dyDescent="0.25">
      <c r="A1009" s="524" t="s">
        <v>964</v>
      </c>
      <c r="B1009" s="524" t="s">
        <v>963</v>
      </c>
      <c r="C1009" s="524">
        <v>3100</v>
      </c>
      <c r="D1009" s="533">
        <v>6810</v>
      </c>
      <c r="E1009" s="525">
        <f>SUMIFS('Accounting data'!$G$2:$G$37000,'Accounting data'!$H$2:$H$37000,"9999*",'Accounting data'!$J$2:$J$37000,"31*",'Accounting data'!$K$2:$K$37000,"681*")</f>
        <v>0</v>
      </c>
    </row>
    <row r="1010" spans="1:5" x14ac:dyDescent="0.25">
      <c r="A1010" s="524" t="s">
        <v>963</v>
      </c>
      <c r="B1010" s="524" t="s">
        <v>965</v>
      </c>
      <c r="C1010" s="524">
        <v>3100</v>
      </c>
      <c r="D1010" s="533">
        <v>6810</v>
      </c>
      <c r="E1010" s="525">
        <f>SUMIFS('Accounting data'!$G$2:$G$37000,'Accounting data'!$I$2:$I$37000,"7*",'Accounting data'!$J$2:$J$37000,"31*",'Accounting data'!$K$2:$K$37000,"681*")+SUMIFS('Accounting data'!$G$2:$G$37000,'Accounting data'!$I$2:$I$37000,"8*",'Accounting data'!$J$2:$J$37000,"31*",'Accounting data'!$K$2:$K$37000,"681*")+SUMIFS('Accounting data'!$G$2:$G$37000,'Accounting data'!$I$2:$I$37000,"9*",'Accounting data'!$J$2:$J$37000,"31*",'Accounting data'!$K$2:$K$37000,"681*")</f>
        <v>0</v>
      </c>
    </row>
    <row r="1011" spans="1:5" x14ac:dyDescent="0.25">
      <c r="A1011" s="526" t="s">
        <v>964</v>
      </c>
      <c r="B1011" s="524" t="s">
        <v>965</v>
      </c>
      <c r="C1011" s="524">
        <v>3100</v>
      </c>
      <c r="D1011" s="533">
        <v>6810</v>
      </c>
      <c r="E1011" s="525">
        <f>SUMIFS('Accounting data'!$G$2:$G$37000,'Accounting data'!$H$2:$H$37000,"9999*",'Accounting data'!$I$2:$I$37000,"7*",'Accounting data'!$J$2:$J$37000,"31*",'Accounting data'!$K$2:$K$37000,"681*")+SUMIFS('Accounting data'!$G$2:$G$37000,'Accounting data'!$H$2:$H$37000,"9999*",'Accounting data'!$I$2:$I$37000,"8*",'Accounting data'!$J$2:$J$37000,"31*",'Accounting data'!$K$2:$K$37000,"681*")+SUMIFS('Accounting data'!$G$2:$G$37000,'Accounting data'!$H$2:$H$37000,"9999*",'Accounting data'!$I$2:$I$37000,"9*",'Accounting data'!$J$2:$J$37000,"31*",'Accounting data'!$K$2:$K$37000,"681*")</f>
        <v>0</v>
      </c>
    </row>
    <row r="1012" spans="1:5" x14ac:dyDescent="0.25">
      <c r="A1012" s="524"/>
      <c r="B1012" s="524"/>
      <c r="C1012" s="524"/>
      <c r="D1012" s="533"/>
      <c r="E1012" s="525"/>
    </row>
    <row r="1013" spans="1:5" x14ac:dyDescent="0.25">
      <c r="A1013" s="524"/>
      <c r="B1013" s="524"/>
      <c r="C1013" s="524"/>
      <c r="D1013" s="533"/>
      <c r="E1013" s="525"/>
    </row>
    <row r="1014" spans="1:5" x14ac:dyDescent="0.25">
      <c r="A1014" s="527" t="s">
        <v>1036</v>
      </c>
      <c r="B1014" s="527"/>
      <c r="C1014" s="527"/>
      <c r="D1014" s="527"/>
      <c r="E1014" s="529">
        <f>(E1008-E1009-E1010)+(E1011+E1012+E1013)</f>
        <v>0</v>
      </c>
    </row>
    <row r="1015" spans="1:5" x14ac:dyDescent="0.25">
      <c r="A1015" s="524"/>
      <c r="B1015" s="524"/>
      <c r="C1015" s="524"/>
      <c r="D1015" s="533"/>
      <c r="E1015" s="525"/>
    </row>
    <row r="1016" spans="1:5" x14ac:dyDescent="0.25">
      <c r="A1016" s="524"/>
      <c r="B1016" s="524"/>
      <c r="C1016" s="524"/>
      <c r="D1016" s="533"/>
      <c r="E1016" s="525"/>
    </row>
    <row r="1017" spans="1:5" x14ac:dyDescent="0.25">
      <c r="A1017" s="524"/>
      <c r="B1017" s="524"/>
      <c r="C1017" s="524"/>
      <c r="D1017" s="533"/>
      <c r="E1017" s="525"/>
    </row>
    <row r="1018" spans="1:5" x14ac:dyDescent="0.25">
      <c r="A1018" s="526"/>
      <c r="B1018" s="524"/>
      <c r="C1018" s="524"/>
      <c r="D1018" s="533"/>
      <c r="E1018" s="525"/>
    </row>
    <row r="1019" spans="1:5" x14ac:dyDescent="0.25">
      <c r="A1019" s="524"/>
      <c r="B1019" s="524"/>
      <c r="C1019" s="524"/>
      <c r="D1019" s="533"/>
      <c r="E1019" s="525"/>
    </row>
    <row r="1020" spans="1:5" x14ac:dyDescent="0.25">
      <c r="A1020" s="524"/>
      <c r="B1020" s="524"/>
      <c r="C1020" s="524"/>
      <c r="D1020" s="533"/>
      <c r="E1020" s="525"/>
    </row>
    <row r="1021" spans="1:5" x14ac:dyDescent="0.25">
      <c r="A1021" s="527"/>
      <c r="B1021" s="527"/>
      <c r="C1021" s="527"/>
      <c r="D1021" s="527"/>
      <c r="E1021" s="529"/>
    </row>
    <row r="1022" spans="1:5" x14ac:dyDescent="0.25">
      <c r="A1022" s="524" t="s">
        <v>963</v>
      </c>
      <c r="B1022" s="524" t="s">
        <v>963</v>
      </c>
      <c r="C1022" s="524">
        <v>3400</v>
      </c>
      <c r="D1022" s="533">
        <v>6810</v>
      </c>
      <c r="E1022" s="525">
        <f>SUMIFS('Accounting data'!$G$2:$G$37000,'Accounting data'!$J$2:$J$37000,"34*",'Accounting data'!$K$2:$K$37000,"681*")</f>
        <v>0</v>
      </c>
    </row>
    <row r="1023" spans="1:5" x14ac:dyDescent="0.25">
      <c r="A1023" s="524" t="s">
        <v>964</v>
      </c>
      <c r="B1023" s="524" t="s">
        <v>963</v>
      </c>
      <c r="C1023" s="524">
        <v>3400</v>
      </c>
      <c r="D1023" s="533">
        <v>6810</v>
      </c>
      <c r="E1023" s="525">
        <f>SUMIFS('Accounting data'!$G$2:$G$37000,'Accounting data'!$H$2:$H$37000,"9999*",'Accounting data'!$J$2:$J$37000,"34*",'Accounting data'!$K$2:$K$37000,"681*")</f>
        <v>0</v>
      </c>
    </row>
    <row r="1024" spans="1:5" x14ac:dyDescent="0.25">
      <c r="A1024" s="524" t="s">
        <v>963</v>
      </c>
      <c r="B1024" s="524" t="s">
        <v>965</v>
      </c>
      <c r="C1024" s="524">
        <v>3400</v>
      </c>
      <c r="D1024" s="533">
        <v>6810</v>
      </c>
      <c r="E1024" s="525">
        <f>SUMIFS('Accounting data'!$G$2:$G$37000,'Accounting data'!$I$2:$I$37000,"7*",'Accounting data'!$J$2:$J$37000,"34*",'Accounting data'!$K$2:$K$37000,"681*")+SUMIFS('Accounting data'!$G$2:$G$37000,'Accounting data'!$I$2:$I$37000,"8*",'Accounting data'!$J$2:$J$37000,"34*",'Accounting data'!$K$2:$K$37000,"681*")+SUMIFS('Accounting data'!$G$2:$G$37000,'Accounting data'!$I$2:$I$37000,"9*",'Accounting data'!$J$2:$J$37000,"34*",'Accounting data'!$K$2:$K$37000,"681*")</f>
        <v>0</v>
      </c>
    </row>
    <row r="1025" spans="1:5" x14ac:dyDescent="0.25">
      <c r="A1025" s="526" t="s">
        <v>964</v>
      </c>
      <c r="B1025" s="524" t="s">
        <v>965</v>
      </c>
      <c r="C1025" s="524">
        <v>3400</v>
      </c>
      <c r="D1025" s="533">
        <v>6810</v>
      </c>
      <c r="E1025" s="525">
        <f>SUMIFS('Accounting data'!$G$2:$G$37000,'Accounting data'!$H$2:$H$37000,"9999*",'Accounting data'!$I$2:$I$37000,"7*",'Accounting data'!$J$2:$J$37000,"34*",'Accounting data'!$K$2:$K$37000,"681*")+SUMIFS('Accounting data'!$G$2:$G$37000,'Accounting data'!$H$2:$H$37000,"9999*",'Accounting data'!$I$2:$I$37000,"8*",'Accounting data'!$J$2:$J$37000,"34*",'Accounting data'!$K$2:$K$37000,"681*")+SUMIFS('Accounting data'!$G$2:$G$37000,'Accounting data'!$H$2:$H$37000,"9999*",'Accounting data'!$I$2:$I$37000,"9*",'Accounting data'!$J$2:$J$37000,"34*",'Accounting data'!$K$2:$K$37000,"681*")</f>
        <v>0</v>
      </c>
    </row>
    <row r="1026" spans="1:5" x14ac:dyDescent="0.25">
      <c r="A1026" s="524"/>
      <c r="B1026" s="524"/>
      <c r="C1026" s="524"/>
      <c r="D1026" s="533"/>
      <c r="E1026" s="525"/>
    </row>
    <row r="1027" spans="1:5" x14ac:dyDescent="0.25">
      <c r="A1027" s="524"/>
      <c r="B1027" s="524"/>
      <c r="C1027" s="524"/>
      <c r="D1027" s="533"/>
      <c r="E1027" s="525"/>
    </row>
    <row r="1028" spans="1:5" x14ac:dyDescent="0.25">
      <c r="A1028" s="527" t="s">
        <v>1037</v>
      </c>
      <c r="B1028" s="527"/>
      <c r="C1028" s="527"/>
      <c r="D1028" s="527"/>
      <c r="E1028" s="529">
        <f>(E1022-E1023-E1024)+(E1025+E1026+E1027)</f>
        <v>0</v>
      </c>
    </row>
    <row r="1029" spans="1:5" x14ac:dyDescent="0.25">
      <c r="A1029" s="524" t="s">
        <v>963</v>
      </c>
      <c r="B1029" s="524" t="s">
        <v>963</v>
      </c>
      <c r="C1029" s="524">
        <v>4000</v>
      </c>
      <c r="D1029" s="533">
        <v>6810</v>
      </c>
      <c r="E1029" s="525">
        <f>SUMIFS('Accounting data'!$G$2:$G$37000,'Accounting data'!$J$2:$J$37000,"4*",'Accounting data'!$K$2:$K$37000,"681*")</f>
        <v>0</v>
      </c>
    </row>
    <row r="1030" spans="1:5" x14ac:dyDescent="0.25">
      <c r="A1030" s="524" t="s">
        <v>964</v>
      </c>
      <c r="B1030" s="524" t="s">
        <v>963</v>
      </c>
      <c r="C1030" s="524">
        <v>4000</v>
      </c>
      <c r="D1030" s="533">
        <v>6810</v>
      </c>
      <c r="E1030" s="525">
        <f>SUMIFS('Accounting data'!$G$2:$G$37000,'Accounting data'!$H$2:$H$37000,"9999*",'Accounting data'!$J$2:$J$37000,"4*",'Accounting data'!$K$2:$K$37000,"681*")</f>
        <v>0</v>
      </c>
    </row>
    <row r="1031" spans="1:5" x14ac:dyDescent="0.25">
      <c r="A1031" s="524" t="s">
        <v>963</v>
      </c>
      <c r="B1031" s="524" t="s">
        <v>965</v>
      </c>
      <c r="C1031" s="524">
        <v>4000</v>
      </c>
      <c r="D1031" s="533">
        <v>6810</v>
      </c>
      <c r="E1031" s="525">
        <f>SUMIFS('Accounting data'!$G$2:$G$37000,'Accounting data'!$I$2:$I$37000,"7*",'Accounting data'!$J$2:$J$37000,"4*",'Accounting data'!$K$2:$K$37000,"681*")+SUMIFS('Accounting data'!$G$2:$G$37000,'Accounting data'!$I$2:$I$37000,"8*",'Accounting data'!$J$2:$J$37000,"4*",'Accounting data'!$K$2:$K$37000,"681*")+SUMIFS('Accounting data'!$G$2:$G$37000,'Accounting data'!$I$2:$I$37000,"9*",'Accounting data'!$J$2:$J$37000,"4*",'Accounting data'!$K$2:$K$37000,"681*")</f>
        <v>0</v>
      </c>
    </row>
    <row r="1032" spans="1:5" x14ac:dyDescent="0.25">
      <c r="A1032" s="526" t="s">
        <v>964</v>
      </c>
      <c r="B1032" s="524" t="s">
        <v>965</v>
      </c>
      <c r="C1032" s="524">
        <v>4000</v>
      </c>
      <c r="D1032" s="533">
        <v>6810</v>
      </c>
      <c r="E1032" s="525">
        <f>SUMIFS('Accounting data'!$G$2:$G$37000,'Accounting data'!$H$2:$H$37000,"9999*",'Accounting data'!$I$2:$I$37000,"7*",'Accounting data'!$J$2:$J$37000,"4*",'Accounting data'!$K$2:$K$37000,"681*")+SUMIFS('Accounting data'!$G$2:$G$37000,'Accounting data'!$H$2:$H$37000,"9999*",'Accounting data'!$I$2:$I$37000,"8*",'Accounting data'!$J$2:$J$37000,"4*",'Accounting data'!$K$2:$K$37000,"681*")+SUMIFS('Accounting data'!$G$2:$G$37000,'Accounting data'!$H$2:$H$37000,"9999*",'Accounting data'!$I$2:$I$37000,"9*",'Accounting data'!$J$2:$J$37000,"4*",'Accounting data'!$K$2:$K$37000,"681*")</f>
        <v>0</v>
      </c>
    </row>
    <row r="1033" spans="1:5" x14ac:dyDescent="0.25">
      <c r="A1033" s="524"/>
      <c r="B1033" s="524"/>
      <c r="C1033" s="524"/>
      <c r="D1033" s="533"/>
      <c r="E1033" s="525"/>
    </row>
    <row r="1034" spans="1:5" x14ac:dyDescent="0.25">
      <c r="A1034" s="524"/>
      <c r="B1034" s="524"/>
      <c r="C1034" s="524"/>
      <c r="D1034" s="533"/>
      <c r="E1034" s="525"/>
    </row>
    <row r="1035" spans="1:5" x14ac:dyDescent="0.25">
      <c r="A1035" s="527" t="s">
        <v>1038</v>
      </c>
      <c r="B1035" s="527"/>
      <c r="C1035" s="527"/>
      <c r="D1035" s="527"/>
      <c r="E1035" s="529">
        <f>(E1029-E1030-E1031)+(E1032+E1033+E1034)</f>
        <v>0</v>
      </c>
    </row>
    <row r="1036" spans="1:5" x14ac:dyDescent="0.25">
      <c r="A1036" s="530" t="s">
        <v>1039</v>
      </c>
      <c r="B1036" s="530"/>
      <c r="C1036" s="530"/>
      <c r="D1036" s="530"/>
      <c r="E1036" s="534">
        <f>E951+E958+E965+E972+E979+E986+E993+E1000+E1007+E1014+E1021+E1028</f>
        <v>0</v>
      </c>
    </row>
    <row r="1037" spans="1:5" x14ac:dyDescent="0.25">
      <c r="A1037" s="524" t="s">
        <v>979</v>
      </c>
      <c r="B1037" s="524" t="s">
        <v>963</v>
      </c>
      <c r="C1037" s="524">
        <v>1000</v>
      </c>
      <c r="D1037" s="524">
        <v>6810</v>
      </c>
      <c r="E1037" s="525">
        <f>SUMIFS('Accounting data'!$G$2:$G$37000,'Accounting data'!$H$2:$H$37000,"11*",'Accounting data'!$J$2:$J$37000,"1*",'Accounting data'!$K$2:$K$37000,"681*")+SUMIFS('Accounting data'!$G$2:$G$37000,'Accounting data'!$H$2:$H$37000,"12*",'Accounting data'!$J$2:$J$37000,"1*",'Accounting data'!$K$2:$K$37000,"681*")+SUMIFS('Accounting data'!$G$2:$G$37000,'Accounting data'!$H$2:$H$37000,"13*",'Accounting data'!$J$2:$J$37000,"1*",'Accounting data'!$K$2:$K$37000,"681*")</f>
        <v>0</v>
      </c>
    </row>
    <row r="1038" spans="1:5" x14ac:dyDescent="0.25">
      <c r="A1038" s="524" t="s">
        <v>979</v>
      </c>
      <c r="B1038" s="524" t="s">
        <v>963</v>
      </c>
      <c r="C1038" s="524">
        <v>2000</v>
      </c>
      <c r="D1038" s="524">
        <v>6810</v>
      </c>
      <c r="E1038" s="525">
        <f>SUMIFS('Accounting data'!$G$2:$G$37000,'Accounting data'!$H$2:$H$37000,"11*",'Accounting data'!$J$2:$J$37000,"2*",'Accounting data'!$K$2:$K$37000,"681*")+SUMIFS('Accounting data'!$G$2:$G$37000,'Accounting data'!$H$2:$H$37000,"12*",'Accounting data'!$J$2:$J$37000,"2*",'Accounting data'!$K$2:$K$37000,"681*")+SUMIFS('Accounting data'!$G$2:$G$37000,'Accounting data'!$H$2:$H$37000,"13*",'Accounting data'!$J$2:$J$37000,"2*",'Accounting data'!$K$2:$K$37000,"681*")</f>
        <v>0</v>
      </c>
    </row>
    <row r="1039" spans="1:5" x14ac:dyDescent="0.25">
      <c r="A1039" s="524" t="s">
        <v>979</v>
      </c>
      <c r="B1039" s="524" t="s">
        <v>963</v>
      </c>
      <c r="C1039" s="524">
        <v>3000</v>
      </c>
      <c r="D1039" s="524">
        <v>6810</v>
      </c>
      <c r="E1039" s="525">
        <f>SUMIFS('Accounting data'!$G$2:$G$37000,'Accounting data'!$H$2:$H$37000,"11*",'Accounting data'!$J$2:$J$37000,"3*",'Accounting data'!$K$2:$K$37000,"681*")+SUMIFS('Accounting data'!$G$2:$G$37000,'Accounting data'!$H$2:$H$37000,"12*",'Accounting data'!$J$2:$J$37000,"3*",'Accounting data'!$K$2:$K$37000,"681*")+SUMIFS('Accounting data'!$G$2:$G$37000,'Accounting data'!$H$2:$H$37000,"13*",'Accounting data'!$J$2:$J$37000,"3*",'Accounting data'!$K$2:$K$37000,"681*")</f>
        <v>0</v>
      </c>
    </row>
    <row r="1040" spans="1:5" x14ac:dyDescent="0.25">
      <c r="A1040" s="524" t="s">
        <v>979</v>
      </c>
      <c r="B1040" s="526">
        <v>700</v>
      </c>
      <c r="C1040" s="524">
        <v>1000</v>
      </c>
      <c r="D1040" s="524">
        <v>6810</v>
      </c>
      <c r="E1040" s="525">
        <f>SUMIFS('Accounting data'!$G$2:$G$37000,'Accounting data'!$H$2:$H$37000,"11*",'Accounting data'!$I$2:$I$37000,"7*",'Accounting data'!$J$2:$J$37000,"1*",'Accounting data'!$K$2:$K$37000,"681*")+SUMIFS('Accounting data'!$G$2:$G$37000,'Accounting data'!$H$2:$H$37000,"12*",'Accounting data'!$I$2:$I$37000,"7*",'Accounting data'!$J$2:$J$37000,"1*",'Accounting data'!$K$2:$K$37000,"681*")+SUMIFS('Accounting data'!$G$2:$G$37000,'Accounting data'!$H$2:$H$37000,"13*",'Accounting data'!$I$2:$I$37000,"7*",'Accounting data'!$J$2:$J$37000,"1*",'Accounting data'!$K$2:$K$37000,"681*")</f>
        <v>0</v>
      </c>
    </row>
    <row r="1041" spans="1:5" x14ac:dyDescent="0.25">
      <c r="A1041" s="524" t="s">
        <v>979</v>
      </c>
      <c r="B1041" s="526">
        <v>800</v>
      </c>
      <c r="C1041" s="524">
        <v>1000</v>
      </c>
      <c r="D1041" s="524">
        <v>6810</v>
      </c>
      <c r="E1041" s="525">
        <f>SUMIFS('Accounting data'!$G$2:$G$37000,'Accounting data'!$H$2:$H$37000,"11*",'Accounting data'!$I$2:$I$37000,"8*",'Accounting data'!$J$2:$J$37000,"1*",'Accounting data'!$K$2:$K$37000,"681*")+SUMIFS('Accounting data'!$G$2:$G$37000,'Accounting data'!$H$2:$H$37000,"12*",'Accounting data'!$I$2:$I$37000,"8*",'Accounting data'!$J$2:$J$37000,"1*",'Accounting data'!$K$2:$K$37000,"681*")+SUMIFS('Accounting data'!$G$2:$G$37000,'Accounting data'!$H$2:$H$37000,"13*",'Accounting data'!$I$2:$I$37000,"8*",'Accounting data'!$J$2:$J$37000,"1*",'Accounting data'!$K$2:$K$37000,"681*")</f>
        <v>0</v>
      </c>
    </row>
    <row r="1042" spans="1:5" x14ac:dyDescent="0.25">
      <c r="A1042" s="524" t="s">
        <v>979</v>
      </c>
      <c r="B1042" s="526">
        <v>900</v>
      </c>
      <c r="C1042" s="524">
        <v>1000</v>
      </c>
      <c r="D1042" s="524">
        <v>6810</v>
      </c>
      <c r="E1042" s="525">
        <f>SUMIFS('Accounting data'!$G$2:$G$37000,'Accounting data'!$H$2:$H$37000,"11*",'Accounting data'!$I$2:$I$37000,"9*",'Accounting data'!$J$2:$J$37000,"1*",'Accounting data'!$K$2:$K$37000,"681*")+SUMIFS('Accounting data'!$G$2:$G$37000,'Accounting data'!$H$2:$H$37000,"12*",'Accounting data'!$I$2:$I$37000,"9*",'Accounting data'!$J$2:$J$37000,"1*",'Accounting data'!$K$2:$K$37000,"681*")+SUMIFS('Accounting data'!$G$2:$G$37000,'Accounting data'!$H$2:$H$37000,"13*",'Accounting data'!$I$2:$I$37000,"9*",'Accounting data'!$J$2:$J$37000,"1*",'Accounting data'!$K$2:$K$37000,"681*")</f>
        <v>0</v>
      </c>
    </row>
    <row r="1043" spans="1:5" x14ac:dyDescent="0.25">
      <c r="A1043" s="524" t="s">
        <v>979</v>
      </c>
      <c r="B1043" s="526">
        <v>700</v>
      </c>
      <c r="C1043" s="524">
        <v>2000</v>
      </c>
      <c r="D1043" s="524">
        <v>6810</v>
      </c>
      <c r="E1043" s="525">
        <f>SUMIFS('Accounting data'!$G$2:$G$37000,'Accounting data'!$H$2:$H$37000,"11*",'Accounting data'!$I$2:$I$37000,"7*",'Accounting data'!$J$2:$J$37000,"2*",'Accounting data'!$K$2:$K$37000,"681*")+SUMIFS('Accounting data'!$G$2:$G$37000,'Accounting data'!$H$2:$H$37000,"12*",'Accounting data'!$I$2:$I$37000,"7*",'Accounting data'!$J$2:$J$37000,"2*",'Accounting data'!$K$2:$K$37000,"681*")+SUMIFS('Accounting data'!$G$2:$G$37000,'Accounting data'!$H$2:$H$37000,"13*",'Accounting data'!$I$2:$I$37000,"7*",'Accounting data'!$J$2:$J$37000,"2*",'Accounting data'!$K$2:$K$37000,"681*")</f>
        <v>0</v>
      </c>
    </row>
    <row r="1044" spans="1:5" x14ac:dyDescent="0.25">
      <c r="A1044" s="524" t="s">
        <v>979</v>
      </c>
      <c r="B1044" s="526">
        <v>800</v>
      </c>
      <c r="C1044" s="524">
        <v>2000</v>
      </c>
      <c r="D1044" s="524">
        <v>6810</v>
      </c>
      <c r="E1044" s="525">
        <f>SUMIFS('Accounting data'!$G$2:$G$37000,'Accounting data'!$H$2:$H$37000,"11*",'Accounting data'!$I$2:$I$37000,"8*",'Accounting data'!$J$2:$J$37000,"2*",'Accounting data'!$K$2:$K$37000,"681*")+SUMIFS('Accounting data'!$G$2:$G$37000,'Accounting data'!$H$2:$H$37000,"12*",'Accounting data'!$I$2:$I$37000,"8*",'Accounting data'!$J$2:$J$37000,"2*",'Accounting data'!$K$2:$K$37000,"681*")+SUMIFS('Accounting data'!$G$2:$G$37000,'Accounting data'!$H$2:$H$37000,"13*",'Accounting data'!$I$2:$I$37000,"8*",'Accounting data'!$J$2:$J$37000,"2*",'Accounting data'!$K$2:$K$37000,"681*")</f>
        <v>0</v>
      </c>
    </row>
    <row r="1045" spans="1:5" x14ac:dyDescent="0.25">
      <c r="A1045" s="524" t="s">
        <v>979</v>
      </c>
      <c r="B1045" s="526">
        <v>900</v>
      </c>
      <c r="C1045" s="524">
        <v>2000</v>
      </c>
      <c r="D1045" s="524">
        <v>6810</v>
      </c>
      <c r="E1045" s="525">
        <f>SUMIFS('Accounting data'!$G$2:$G$37000,'Accounting data'!$H$2:$H$37000,"11*",'Accounting data'!$I$2:$I$37000,"9*",'Accounting data'!$J$2:$J$37000,"2*",'Accounting data'!$K$2:$K$37000,"681*")+SUMIFS('Accounting data'!$G$2:$G$37000,'Accounting data'!$H$2:$H$37000,"12*",'Accounting data'!$I$2:$I$37000,"9*",'Accounting data'!$J$2:$J$37000,"2*",'Accounting data'!$K$2:$K$37000,"681*")+SUMIFS('Accounting data'!$G$2:$G$37000,'Accounting data'!$H$2:$H$37000,"13*",'Accounting data'!$I$2:$I$37000,"9*",'Accounting data'!$J$2:$J$37000,"2*",'Accounting data'!$K$2:$K$37000,"681*")</f>
        <v>0</v>
      </c>
    </row>
    <row r="1046" spans="1:5" x14ac:dyDescent="0.25">
      <c r="A1046" s="524" t="s">
        <v>979</v>
      </c>
      <c r="B1046" s="526">
        <v>700</v>
      </c>
      <c r="C1046" s="524">
        <v>3000</v>
      </c>
      <c r="D1046" s="524">
        <v>6810</v>
      </c>
      <c r="E1046" s="525">
        <f>SUMIFS('Accounting data'!$G$2:$G$37000,'Accounting data'!$H$2:$H$37000,"11*",'Accounting data'!$I$2:$I$37000,"7*",'Accounting data'!$J$2:$J$37000,"3*",'Accounting data'!$K$2:$K$37000,"681*")+SUMIFS('Accounting data'!$G$2:$G$37000,'Accounting data'!$H$2:$H$37000,"12*",'Accounting data'!$I$2:$I$37000,"7*",'Accounting data'!$J$2:$J$37000,"3*",'Accounting data'!$K$2:$K$37000,"681*")+SUMIFS('Accounting data'!$G$2:$G$37000,'Accounting data'!$H$2:$H$37000,"13*",'Accounting data'!$I$2:$I$37000,"7*",'Accounting data'!$J$2:$J$37000,"3*",'Accounting data'!$K$2:$K$37000,"681*")</f>
        <v>0</v>
      </c>
    </row>
    <row r="1047" spans="1:5" x14ac:dyDescent="0.25">
      <c r="A1047" s="524" t="s">
        <v>979</v>
      </c>
      <c r="B1047" s="526">
        <v>800</v>
      </c>
      <c r="C1047" s="524">
        <v>3000</v>
      </c>
      <c r="D1047" s="524">
        <v>6810</v>
      </c>
      <c r="E1047" s="525">
        <f>SUMIFS('Accounting data'!$G$2:$G$37000,'Accounting data'!$H$2:$H$37000,"11*",'Accounting data'!$I$2:$I$37000,"8*",'Accounting data'!$J$2:$J$37000,"3*",'Accounting data'!$K$2:$K$37000,"681*")+SUMIFS('Accounting data'!$G$2:$G$37000,'Accounting data'!$H$2:$H$37000,"12*",'Accounting data'!$I$2:$I$37000,"8*",'Accounting data'!$J$2:$J$37000,"3*",'Accounting data'!$K$2:$K$37000,"681*")+SUMIFS('Accounting data'!$G$2:$G$37000,'Accounting data'!$H$2:$H$37000,"13*",'Accounting data'!$I$2:$I$37000,"8*",'Accounting data'!$J$2:$J$37000,"3*",'Accounting data'!$K$2:$K$37000,"681*")</f>
        <v>0</v>
      </c>
    </row>
    <row r="1048" spans="1:5" x14ac:dyDescent="0.25">
      <c r="A1048" s="524" t="s">
        <v>979</v>
      </c>
      <c r="B1048" s="526">
        <v>900</v>
      </c>
      <c r="C1048" s="524">
        <v>3000</v>
      </c>
      <c r="D1048" s="524">
        <v>6810</v>
      </c>
      <c r="E1048" s="525">
        <f>SUMIFS('Accounting data'!$G$2:$G$37000,'Accounting data'!$H$2:$H$37000,"11*",'Accounting data'!$I$2:$I$37000,"9*",'Accounting data'!$J$2:$J$37000,"3*",'Accounting data'!$K$2:$K$37000,"681*")+SUMIFS('Accounting data'!$G$2:$G$37000,'Accounting data'!$H$2:$H$37000,"12*",'Accounting data'!$I$2:$I$37000,"9*",'Accounting data'!$J$2:$J$37000,"3*",'Accounting data'!$K$2:$K$37000,"681*")+SUMIFS('Accounting data'!$G$2:$G$37000,'Accounting data'!$H$2:$H$37000,"13*",'Accounting data'!$I$2:$I$37000,"9*",'Accounting data'!$J$2:$J$37000,"3*",'Accounting data'!$K$2:$K$37000,"681*")</f>
        <v>0</v>
      </c>
    </row>
    <row r="1049" spans="1:5" x14ac:dyDescent="0.25">
      <c r="A1049" s="527" t="s">
        <v>1040</v>
      </c>
      <c r="B1049" s="527"/>
      <c r="C1049" s="527"/>
      <c r="D1049" s="527"/>
      <c r="E1049" s="529">
        <f>(E1037+E1038+E1039)-(E1040+E1041+E1042+E1043+E1044+E1045+E1046+E1047+E1048)</f>
        <v>0</v>
      </c>
    </row>
    <row r="1050" spans="1:5" x14ac:dyDescent="0.25">
      <c r="A1050" s="524" t="s">
        <v>963</v>
      </c>
      <c r="B1050" s="524" t="s">
        <v>963</v>
      </c>
      <c r="C1050" s="524">
        <v>2300</v>
      </c>
      <c r="D1050" s="533">
        <v>6820</v>
      </c>
      <c r="E1050" s="525">
        <f>SUMIFS('Accounting data'!$G$2:$G$37000,'Accounting data'!$J$2:$J$37000,"23*",'Accounting data'!$K$2:$K$37000,"682*")</f>
        <v>0</v>
      </c>
    </row>
    <row r="1051" spans="1:5" x14ac:dyDescent="0.25">
      <c r="A1051" s="524" t="s">
        <v>964</v>
      </c>
      <c r="B1051" s="524" t="s">
        <v>963</v>
      </c>
      <c r="C1051" s="524">
        <v>2300</v>
      </c>
      <c r="D1051" s="533">
        <v>6820</v>
      </c>
      <c r="E1051" s="525">
        <f>SUMIFS('Accounting data'!$G$2:$G$37000,'Accounting data'!$H$2:$H$37000,"9999*",'Accounting data'!$J$2:$J$37000,"23*",'Accounting data'!$K$2:$K$37000,"682*")</f>
        <v>0</v>
      </c>
    </row>
    <row r="1052" spans="1:5" x14ac:dyDescent="0.25">
      <c r="A1052" s="524" t="s">
        <v>963</v>
      </c>
      <c r="B1052" s="524" t="s">
        <v>965</v>
      </c>
      <c r="C1052" s="524">
        <v>2300</v>
      </c>
      <c r="D1052" s="533">
        <v>6820</v>
      </c>
      <c r="E1052" s="525">
        <f>SUMIFS('Accounting data'!$G$2:$G$37000,'Accounting data'!$I$2:$I$37000,"7*",'Accounting data'!$J$2:$J$37000,"23*",'Accounting data'!$K$2:$K$37000,"682*")+SUMIFS('Accounting data'!$G$2:$G$37000,'Accounting data'!$I$2:$I$37000,"8*",'Accounting data'!$J$2:$J$37000,"23*",'Accounting data'!$K$2:$K$37000,"682*")+SUMIFS('Accounting data'!$G$2:$G$37000,'Accounting data'!$I$2:$I$37000,"9*",'Accounting data'!$J$2:$J$37000,"23*",'Accounting data'!$K$2:$K$37000,"682*")</f>
        <v>0</v>
      </c>
    </row>
    <row r="1053" spans="1:5" x14ac:dyDescent="0.25">
      <c r="A1053" s="526" t="s">
        <v>964</v>
      </c>
      <c r="B1053" s="524" t="s">
        <v>965</v>
      </c>
      <c r="C1053" s="524">
        <v>2300</v>
      </c>
      <c r="D1053" s="533">
        <v>6820</v>
      </c>
      <c r="E1053" s="525">
        <f>SUMIFS('Accounting data'!$G$2:$G$37000,'Accounting data'!$H$2:$H$37000,"9999*",'Accounting data'!$I$2:$I$37000,"7*",'Accounting data'!$J$2:$J$37000,"23*",'Accounting data'!$K$2:$K$37000,"682*")+SUMIFS('Accounting data'!$G$2:$G$37000,'Accounting data'!$H$2:$H$37000,"9999*",'Accounting data'!$I$2:$I$37000,"8*",'Accounting data'!$J$2:$J$37000,"23*",'Accounting data'!$K$2:$K$37000,"682*")+SUMIFS('Accounting data'!$G$2:$G$37000,'Accounting data'!$H$2:$H$37000,"9999*",'Accounting data'!$I$2:$I$37000,"9*",'Accounting data'!$J$2:$J$37000,"23*",'Accounting data'!$K$2:$K$37000,"682*")</f>
        <v>0</v>
      </c>
    </row>
    <row r="1054" spans="1:5" x14ac:dyDescent="0.25">
      <c r="A1054" s="524"/>
      <c r="B1054" s="524"/>
      <c r="C1054" s="524"/>
      <c r="D1054" s="533"/>
      <c r="E1054" s="525"/>
    </row>
    <row r="1055" spans="1:5" x14ac:dyDescent="0.25">
      <c r="A1055" s="524"/>
      <c r="B1055" s="524"/>
      <c r="C1055" s="524"/>
      <c r="D1055" s="533"/>
      <c r="E1055" s="525"/>
    </row>
    <row r="1056" spans="1:5" x14ac:dyDescent="0.25">
      <c r="A1056" s="527" t="s">
        <v>1041</v>
      </c>
      <c r="B1056" s="527"/>
      <c r="C1056" s="533"/>
      <c r="D1056" s="527"/>
      <c r="E1056" s="529">
        <f>(E1050-E1051-E1052)+(E1053+E1054+E1055)</f>
        <v>0</v>
      </c>
    </row>
    <row r="1057" spans="1:5" x14ac:dyDescent="0.25">
      <c r="A1057" s="524" t="s">
        <v>979</v>
      </c>
      <c r="B1057" s="524" t="s">
        <v>963</v>
      </c>
      <c r="C1057" s="524">
        <v>2300</v>
      </c>
      <c r="D1057" s="524">
        <v>6820</v>
      </c>
      <c r="E1057" s="525">
        <f>SUMIFS('Accounting data'!$G$2:$G$37000,'Accounting data'!$H$2:$H$37000,"11*",'Accounting data'!$J$2:$J$37000,"23*",'Accounting data'!$K$2:$K$37000,"682*")+SUMIFS('Accounting data'!$G$2:$G$37000,'Accounting data'!$H$2:$H$37000,"12*",'Accounting data'!$J$2:$J$37000,"23*",'Accounting data'!$K$2:$K$37000,"682*")+SUMIFS('Accounting data'!$G$2:$G$37000,'Accounting data'!$H$2:$H$37000,"13*",'Accounting data'!$J$2:$J$37000,"23*",'Accounting data'!$K$2:$K$37000,"682*")+SUMIFS('Accounting data'!$G$2:$G$37000,'Accounting data'!$H$2:$H$37000,"639",'Accounting data'!$J$2:$J$37000,"23*",'Accounting data'!$K$2:$K$37000,"682*")+SUMIFS('Accounting data'!$G$2:$G$37000,'Accounting data'!$H$2:$H$37000,"699",'Accounting data'!$J$2:$J$37000,"23*",'Accounting data'!$K$2:$K$37000,"682*")+SUMIFS('Accounting data'!$G$2:$G$37000,'Accounting data'!$H$2:$H$37000,"72?",'Accounting data'!$J$2:$J$37000,"23*",'Accounting data'!$K$2:$K$37000,"682*")</f>
        <v>0</v>
      </c>
    </row>
    <row r="1058" spans="1:5" x14ac:dyDescent="0.25">
      <c r="A1058" s="524" t="s">
        <v>979</v>
      </c>
      <c r="B1058" s="526">
        <v>700</v>
      </c>
      <c r="C1058" s="524">
        <v>2300</v>
      </c>
      <c r="D1058" s="524">
        <v>6820</v>
      </c>
      <c r="E1058" s="525">
        <f>SUMIFS('Accounting data'!$G$2:$G$37000,'Accounting data'!$H$2:$H$37000,"11*",'Accounting data'!$I$2:$I$37000,"7*",'Accounting data'!$J$2:$J$37000,"23*",'Accounting data'!$K$2:$K$37000,"682*")+SUMIFS('Accounting data'!$G$2:$G$37000,'Accounting data'!$H$2:$H$37000,"12*",'Accounting data'!$I$2:$I$37000,"7*",'Accounting data'!$J$2:$J$37000,"23*",'Accounting data'!$K$2:$K$37000,"682*")+SUMIFS('Accounting data'!$G$2:$G$37000,'Accounting data'!$H$2:$H$37000,"13*",'Accounting data'!$I$2:$I$37000,"7*",'Accounting data'!$J$2:$J$37000,"23*",'Accounting data'!$K$2:$K$37000,"682*")+SUMIFS('Accounting data'!$G$2:$G$37000,'Accounting data'!$H$2:$H$37000,"639",'Accounting data'!$I$2:$I$37000,"7*",'Accounting data'!$J$2:$J$37000,"23*",'Accounting data'!$K$2:$K$37000,"682*")+SUMIFS('Accounting data'!$G$2:$G$37000,'Accounting data'!$H$2:$H$37000,"699",'Accounting data'!$I$2:$I$37000,"7*",'Accounting data'!$J$2:$J$37000,"23*",'Accounting data'!$K$2:$K$37000,"682*")+SUMIFS('Accounting data'!$G$2:$G$37000,'Accounting data'!$H$2:$H$37000,"72?",'Accounting data'!$I$2:$I$37000,"7*",'Accounting data'!$J$2:$J$37000,"23*",'Accounting data'!$K$2:$K$37000,"682*")</f>
        <v>0</v>
      </c>
    </row>
    <row r="1059" spans="1:5" x14ac:dyDescent="0.25">
      <c r="A1059" s="524" t="s">
        <v>979</v>
      </c>
      <c r="B1059" s="526">
        <v>800</v>
      </c>
      <c r="C1059" s="524">
        <v>2300</v>
      </c>
      <c r="D1059" s="524">
        <v>6820</v>
      </c>
      <c r="E1059" s="525">
        <f>SUMIFS('Accounting data'!$G$2:$G$37000,'Accounting data'!$H$2:$H$37000,"11*",'Accounting data'!$I$2:$I$37000,"8*",'Accounting data'!$J$2:$J$37000,"23*",'Accounting data'!$K$2:$K$37000,"682*")+SUMIFS('Accounting data'!$G$2:$G$37000,'Accounting data'!$H$2:$H$37000,"12*",'Accounting data'!$I$2:$I$37000,"8*",'Accounting data'!$J$2:$J$37000,"23*",'Accounting data'!$K$2:$K$37000,"682*")+SUMIFS('Accounting data'!$G$2:$G$37000,'Accounting data'!$H$2:$H$37000,"13*",'Accounting data'!$I$2:$I$37000,"8*",'Accounting data'!$J$2:$J$37000,"23*",'Accounting data'!$K$2:$K$37000,"682*")+SUMIFS('Accounting data'!$G$2:$G$37000,'Accounting data'!$H$2:$H$37000,"639",'Accounting data'!$I$2:$I$37000,"8*",'Accounting data'!$J$2:$J$37000,"23*",'Accounting data'!$K$2:$K$37000,"682*")+SUMIFS('Accounting data'!$G$2:$G$37000,'Accounting data'!$H$2:$H$37000,"699",'Accounting data'!$I$2:$I$37000,"8*",'Accounting data'!$J$2:$J$37000,"23*",'Accounting data'!$K$2:$K$37000,"682*")+SUMIFS('Accounting data'!$G$2:$G$37000,'Accounting data'!$H$2:$H$37000,"72?",'Accounting data'!$I$2:$I$37000,"8*",'Accounting data'!$J$2:$J$37000,"23*",'Accounting data'!$K$2:$K$37000,"682*")</f>
        <v>0</v>
      </c>
    </row>
    <row r="1060" spans="1:5" x14ac:dyDescent="0.25">
      <c r="A1060" s="524" t="s">
        <v>979</v>
      </c>
      <c r="B1060" s="526">
        <v>900</v>
      </c>
      <c r="C1060" s="524">
        <v>2300</v>
      </c>
      <c r="D1060" s="524">
        <v>6820</v>
      </c>
      <c r="E1060" s="525">
        <f>SUMIFS('Accounting data'!$G$2:$G$37000,'Accounting data'!$H$2:$H$37000,"11*",'Accounting data'!$I$2:$I$37000,"9*",'Accounting data'!$J$2:$J$37000,"23*",'Accounting data'!$K$2:$K$37000,"682*")+SUMIFS('Accounting data'!$G$2:$G$37000,'Accounting data'!$H$2:$H$37000,"12*",'Accounting data'!$I$2:$I$37000,"9*",'Accounting data'!$J$2:$J$37000,"23*",'Accounting data'!$K$2:$K$37000,"682*")+SUMIFS('Accounting data'!$G$2:$G$37000,'Accounting data'!$H$2:$H$37000,"13*",'Accounting data'!$I$2:$I$37000,"9*",'Accounting data'!$J$2:$J$37000,"23*",'Accounting data'!$K$2:$K$37000,"682*")+SUMIFS('Accounting data'!$G$2:$G$37000,'Accounting data'!$H$2:$H$37000,"639",'Accounting data'!$I$2:$I$37000,"9*",'Accounting data'!$J$2:$J$37000,"23*",'Accounting data'!$K$2:$K$37000,"682*")+SUMIFS('Accounting data'!$G$2:$G$37000,'Accounting data'!$H$2:$H$37000,"699",'Accounting data'!$I$2:$I$37000,"9*",'Accounting data'!$J$2:$J$37000,"23*",'Accounting data'!$K$2:$K$37000,"682*")+SUMIFS('Accounting data'!$G$2:$G$37000,'Accounting data'!$H$2:$H$37000,"72?",'Accounting data'!$I$2:$I$37000,"9*",'Accounting data'!$J$2:$J$37000,"23*",'Accounting data'!$K$2:$K$37000,"682*")</f>
        <v>0</v>
      </c>
    </row>
    <row r="1061" spans="1:5" x14ac:dyDescent="0.25">
      <c r="A1061" s="527" t="s">
        <v>1042</v>
      </c>
      <c r="B1061" s="527"/>
      <c r="C1061" s="527"/>
      <c r="D1061" s="527"/>
      <c r="E1061" s="529">
        <f>E1057-E1058-E1059-E1060</f>
        <v>0</v>
      </c>
    </row>
    <row r="1076" spans="1:5" x14ac:dyDescent="0.25">
      <c r="A1076" s="524" t="s">
        <v>963</v>
      </c>
      <c r="B1076" s="524" t="s">
        <v>963</v>
      </c>
      <c r="C1076" s="524">
        <v>2500</v>
      </c>
      <c r="D1076" s="533">
        <v>6850</v>
      </c>
      <c r="E1076" s="525">
        <f>SUMIFS('Accounting data'!$G$2:$G$37000,'Accounting data'!$J$2:$J$37000,"25*",'Accounting data'!$K$2:$K$37000,"685*")</f>
        <v>0</v>
      </c>
    </row>
    <row r="1077" spans="1:5" x14ac:dyDescent="0.25">
      <c r="A1077" s="524" t="s">
        <v>964</v>
      </c>
      <c r="B1077" s="524" t="s">
        <v>963</v>
      </c>
      <c r="C1077" s="524">
        <v>2500</v>
      </c>
      <c r="D1077" s="533">
        <v>6850</v>
      </c>
      <c r="E1077" s="525">
        <f>SUMIFS('Accounting data'!$G$2:$G$37000,'Accounting data'!$H$2:$H$37000,"9999*",'Accounting data'!$J$2:$J$37000,"25*",'Accounting data'!$K$2:$K$37000,"685*")</f>
        <v>0</v>
      </c>
    </row>
    <row r="1078" spans="1:5" x14ac:dyDescent="0.25">
      <c r="A1078" s="524" t="s">
        <v>963</v>
      </c>
      <c r="B1078" s="524" t="s">
        <v>965</v>
      </c>
      <c r="C1078" s="524">
        <v>2500</v>
      </c>
      <c r="D1078" s="533">
        <v>6850</v>
      </c>
      <c r="E1078" s="525">
        <f>SUMIFS('Accounting data'!$G$2:$G$37000,'Accounting data'!$I$2:$I$37000,"7*",'Accounting data'!$J$2:$J$37000,"25*",'Accounting data'!$K$2:$K$37000,"685*")+SUMIFS('Accounting data'!$G$2:$G$37000,'Accounting data'!$I$2:$I$37000,"8*",'Accounting data'!$J$2:$J$37000,"25*",'Accounting data'!$K$2:$K$37000,"685*")+SUMIFS('Accounting data'!$G$2:$G$37000,'Accounting data'!$I$2:$I$37000,"9*",'Accounting data'!$J$2:$J$37000,"25*",'Accounting data'!$K$2:$K$37000,"685*")</f>
        <v>0</v>
      </c>
    </row>
    <row r="1079" spans="1:5" x14ac:dyDescent="0.25">
      <c r="A1079" s="526" t="s">
        <v>964</v>
      </c>
      <c r="B1079" s="524" t="s">
        <v>965</v>
      </c>
      <c r="C1079" s="524">
        <v>2500</v>
      </c>
      <c r="D1079" s="533">
        <v>6850</v>
      </c>
      <c r="E1079" s="525">
        <f>SUMIFS('Accounting data'!$G$2:$G$37000,'Accounting data'!$H$2:$H$37000,"9999*",'Accounting data'!$I$2:$I$37000,"7*",'Accounting data'!$J$2:$J$37000,"25*",'Accounting data'!$K$2:$K$37000,"685*")+SUMIFS('Accounting data'!$G$2:$G$37000,'Accounting data'!$H$2:$H$37000,"9999*",'Accounting data'!$I$2:$I$37000,"8*",'Accounting data'!$J$2:$J$37000,"25*",'Accounting data'!$K$2:$K$37000,"685*")+SUMIFS('Accounting data'!$G$2:$G$37000,'Accounting data'!$H$2:$H$37000,"9999*",'Accounting data'!$I$2:$I$37000,"9*",'Accounting data'!$J$2:$J$37000,"25*",'Accounting data'!$K$2:$K$37000,"685*")</f>
        <v>0</v>
      </c>
    </row>
    <row r="1080" spans="1:5" x14ac:dyDescent="0.25">
      <c r="A1080" s="524"/>
      <c r="B1080" s="524"/>
      <c r="C1080" s="524"/>
      <c r="D1080" s="533"/>
      <c r="E1080" s="525"/>
    </row>
    <row r="1081" spans="1:5" x14ac:dyDescent="0.25">
      <c r="A1081" s="524"/>
      <c r="B1081" s="524"/>
      <c r="C1081" s="524"/>
      <c r="D1081" s="533"/>
      <c r="E1081" s="525"/>
    </row>
    <row r="1082" spans="1:5" x14ac:dyDescent="0.25">
      <c r="A1082" s="527" t="s">
        <v>1043</v>
      </c>
      <c r="B1082" s="527"/>
      <c r="C1082" s="527"/>
      <c r="D1082" s="527"/>
      <c r="E1082" s="529">
        <f>(E1076-E1077-E1078)+(E1079+E1080+E1081)</f>
        <v>0</v>
      </c>
    </row>
    <row r="1105" spans="1:5" x14ac:dyDescent="0.25">
      <c r="A1105" s="524" t="s">
        <v>979</v>
      </c>
      <c r="B1105" s="524" t="s">
        <v>963</v>
      </c>
      <c r="C1105" s="533">
        <v>2500</v>
      </c>
      <c r="D1105" s="524">
        <v>6850</v>
      </c>
      <c r="E1105" s="525">
        <f>SUMIFS('Accounting data'!$G$2:$G$37000,'Accounting data'!$H$2:$H$37000,"11*",'Accounting data'!$J$2:$J$37000,"25*",'Accounting data'!$K$2:$K$37000,"685*")+SUMIFS('Accounting data'!$G$2:$G$37000,'Accounting data'!$H$2:$H$37000,"12*",'Accounting data'!$J$2:$J$37000,"25*",'Accounting data'!$K$2:$K$37000,"685*")+SUMIFS('Accounting data'!$G$2:$G$37000,'Accounting data'!$H$2:$H$37000,"13*",'Accounting data'!$J$2:$J$37000,"25*",'Accounting data'!$K$2:$K$37000,"685*")</f>
        <v>0</v>
      </c>
    </row>
    <row r="1106" spans="1:5" x14ac:dyDescent="0.25">
      <c r="A1106" s="524" t="s">
        <v>979</v>
      </c>
      <c r="B1106" s="526">
        <v>700</v>
      </c>
      <c r="C1106" s="524">
        <v>2500</v>
      </c>
      <c r="D1106" s="524">
        <v>6850</v>
      </c>
      <c r="E1106" s="525">
        <f>SUMIFS('Accounting data'!$G$2:$G$37000,'Accounting data'!$H$2:$H$37000,"11*",'Accounting data'!$I$2:$I$37000,"7*",'Accounting data'!$J$2:$J$37000,"25*",'Accounting data'!$K$2:$K$37000,"685*")+SUMIFS('Accounting data'!$G$2:$G$37000,'Accounting data'!$H$2:$H$37000,"12*",'Accounting data'!$I$2:$I$37000,"7*",'Accounting data'!$J$2:$J$37000,"25*",'Accounting data'!$K$2:$K$37000,"685*")+SUMIFS('Accounting data'!$G$2:$G$37000,'Accounting data'!$H$2:$H$37000,"13*",'Accounting data'!$I$2:$I$37000,"7*",'Accounting data'!$J$2:$J$37000,"25*",'Accounting data'!$K$2:$K$37000,"685*")</f>
        <v>0</v>
      </c>
    </row>
    <row r="1107" spans="1:5" x14ac:dyDescent="0.25">
      <c r="A1107" s="524" t="s">
        <v>979</v>
      </c>
      <c r="B1107" s="526">
        <v>800</v>
      </c>
      <c r="C1107" s="524">
        <v>2500</v>
      </c>
      <c r="D1107" s="524">
        <v>6850</v>
      </c>
      <c r="E1107" s="525">
        <f>SUMIFS('Accounting data'!$G$2:$G$37000,'Accounting data'!$H$2:$H$37000,"11*",'Accounting data'!$I$2:$I$37000,"8*",'Accounting data'!$J$2:$J$37000,"25*",'Accounting data'!$K$2:$K$37000,"685*")+SUMIFS('Accounting data'!$G$2:$G$37000,'Accounting data'!$H$2:$H$37000,"12*",'Accounting data'!$I$2:$I$37000,"8*",'Accounting data'!$J$2:$J$37000,"25*",'Accounting data'!$K$2:$K$37000,"685*")+SUMIFS('Accounting data'!$G$2:$G$37000,'Accounting data'!$H$2:$H$37000,"13*",'Accounting data'!$I$2:$I$37000,"8*",'Accounting data'!$J$2:$J$37000,"25*",'Accounting data'!$K$2:$K$37000,"685*")</f>
        <v>0</v>
      </c>
    </row>
    <row r="1108" spans="1:5" x14ac:dyDescent="0.25">
      <c r="A1108" s="524" t="s">
        <v>979</v>
      </c>
      <c r="B1108" s="526">
        <v>900</v>
      </c>
      <c r="C1108" s="524">
        <v>2500</v>
      </c>
      <c r="D1108" s="524">
        <v>6850</v>
      </c>
      <c r="E1108" s="525">
        <f>SUMIFS('Accounting data'!$G$2:$G$37000,'Accounting data'!$H$2:$H$37000,"11*",'Accounting data'!$I$2:$I$37000,"9*",'Accounting data'!$J$2:$J$37000,"25*",'Accounting data'!$K$2:$K$37000,"685*")+SUMIFS('Accounting data'!$G$2:$G$37000,'Accounting data'!$H$2:$H$37000,"12*",'Accounting data'!$I$2:$I$37000,"9*",'Accounting data'!$J$2:$J$37000,"25*",'Accounting data'!$K$2:$K$37000,"685*")+SUMIFS('Accounting data'!$G$2:$G$37000,'Accounting data'!$H$2:$H$37000,"13*",'Accounting data'!$I$2:$I$37000,"9*",'Accounting data'!$J$2:$J$37000,"25*",'Accounting data'!$K$2:$K$37000,"685*")</f>
        <v>0</v>
      </c>
    </row>
    <row r="1109" spans="1:5" x14ac:dyDescent="0.25">
      <c r="A1109" s="527" t="s">
        <v>1044</v>
      </c>
      <c r="B1109" s="527"/>
      <c r="C1109" s="527"/>
      <c r="D1109" s="527"/>
      <c r="E1109" s="529">
        <f>E1105-(E1106+E1107+E1108)</f>
        <v>0</v>
      </c>
    </row>
    <row r="1110" spans="1:5" x14ac:dyDescent="0.25">
      <c r="A1110" s="524" t="s">
        <v>963</v>
      </c>
      <c r="B1110" s="524" t="s">
        <v>963</v>
      </c>
      <c r="C1110" s="524">
        <v>1000</v>
      </c>
      <c r="D1110" s="533">
        <v>6890</v>
      </c>
      <c r="E1110" s="525">
        <f>SUMIFS('Accounting data'!$G$2:$G$37000,'Accounting data'!$J$2:$J$37000,"1*",'Accounting data'!$K$2:$K$37000,"689*")</f>
        <v>0</v>
      </c>
    </row>
    <row r="1111" spans="1:5" x14ac:dyDescent="0.25">
      <c r="A1111" s="524" t="s">
        <v>964</v>
      </c>
      <c r="B1111" s="524" t="s">
        <v>963</v>
      </c>
      <c r="C1111" s="524">
        <v>1000</v>
      </c>
      <c r="D1111" s="533">
        <v>6890</v>
      </c>
      <c r="E1111" s="525">
        <f>SUMIFS('Accounting data'!$G$2:$G$37000,'Accounting data'!$H$2:$H$37000,"9999*",'Accounting data'!$J$2:$J$37000,"1*",'Accounting data'!$K$2:$K$37000,"689*")</f>
        <v>0</v>
      </c>
    </row>
    <row r="1112" spans="1:5" x14ac:dyDescent="0.25">
      <c r="A1112" s="524" t="s">
        <v>963</v>
      </c>
      <c r="B1112" s="524" t="s">
        <v>965</v>
      </c>
      <c r="C1112" s="524">
        <v>1000</v>
      </c>
      <c r="D1112" s="533">
        <v>6890</v>
      </c>
      <c r="E1112" s="525">
        <f>SUMIFS('Accounting data'!$G$2:$G$37000,'Accounting data'!$I$2:$I$37000,"7*",'Accounting data'!$J$2:$J$37000,"1*",'Accounting data'!$K$2:$K$37000,"689*")+SUMIFS('Accounting data'!$G$2:$G$37000,'Accounting data'!$I$2:$I$37000,"8*",'Accounting data'!$J$2:$J$37000,"1*",'Accounting data'!$K$2:$K$37000,"689*")+SUMIFS('Accounting data'!$G$2:$G$37000,'Accounting data'!$I$2:$I$37000,"9*",'Accounting data'!$J$2:$J$37000,"1*",'Accounting data'!$K$2:$K$37000,"689*")</f>
        <v>0</v>
      </c>
    </row>
    <row r="1113" spans="1:5" x14ac:dyDescent="0.25">
      <c r="A1113" s="526" t="s">
        <v>964</v>
      </c>
      <c r="B1113" s="524" t="s">
        <v>965</v>
      </c>
      <c r="C1113" s="524">
        <v>1000</v>
      </c>
      <c r="D1113" s="533">
        <v>6890</v>
      </c>
      <c r="E1113" s="525">
        <f>SUMIFS('Accounting data'!$G$2:$G$37000,'Accounting data'!$H$2:$H$37000,"9999*",'Accounting data'!$I$2:$I$37000,"7*",'Accounting data'!$J$2:$J$37000,"1*",'Accounting data'!$K$2:$K$37000,"689*")+SUMIFS('Accounting data'!$G$2:$G$37000,'Accounting data'!$H$2:$H$37000,"9999*",'Accounting data'!$I$2:$I$37000,"8*",'Accounting data'!$J$2:$J$37000,"1*",'Accounting data'!$K$2:$K$37000,"689*")+SUMIFS('Accounting data'!$G$2:$G$37000,'Accounting data'!$H$2:$H$37000,"9999*",'Accounting data'!$I$2:$I$37000,"9*",'Accounting data'!$J$2:$J$37000,"1*",'Accounting data'!$K$2:$K$37000,"689*")</f>
        <v>0</v>
      </c>
    </row>
    <row r="1114" spans="1:5" x14ac:dyDescent="0.25">
      <c r="A1114" s="524"/>
      <c r="B1114" s="524"/>
      <c r="C1114" s="524"/>
      <c r="D1114" s="533"/>
      <c r="E1114" s="525"/>
    </row>
    <row r="1115" spans="1:5" x14ac:dyDescent="0.25">
      <c r="A1115" s="524"/>
      <c r="B1115" s="524"/>
      <c r="C1115" s="524"/>
      <c r="D1115" s="533"/>
      <c r="E1115" s="525"/>
    </row>
    <row r="1116" spans="1:5" x14ac:dyDescent="0.25">
      <c r="A1116" s="527" t="s">
        <v>1045</v>
      </c>
      <c r="B1116" s="527"/>
      <c r="C1116" s="527"/>
      <c r="D1116" s="527"/>
      <c r="E1116" s="529">
        <f>(E1110-E1111-E1112)+(E1113+E1114+E1115)</f>
        <v>0</v>
      </c>
    </row>
    <row r="1117" spans="1:5" x14ac:dyDescent="0.25">
      <c r="A1117" s="524" t="s">
        <v>963</v>
      </c>
      <c r="B1117" s="524" t="s">
        <v>963</v>
      </c>
      <c r="C1117" s="524">
        <v>2100</v>
      </c>
      <c r="D1117" s="533">
        <v>6890</v>
      </c>
      <c r="E1117" s="525">
        <f>SUMIFS('Accounting data'!$G$2:$G$37000,'Accounting data'!$J$2:$J$37000,"21*",'Accounting data'!$K$2:$K$37000,"689*")</f>
        <v>0</v>
      </c>
    </row>
    <row r="1118" spans="1:5" x14ac:dyDescent="0.25">
      <c r="A1118" s="524" t="s">
        <v>964</v>
      </c>
      <c r="B1118" s="524" t="s">
        <v>963</v>
      </c>
      <c r="C1118" s="524">
        <v>2100</v>
      </c>
      <c r="D1118" s="533">
        <v>6890</v>
      </c>
      <c r="E1118" s="525">
        <f>SUMIFS('Accounting data'!$G$2:$G$37000,'Accounting data'!$H$2:$H$37000,"9999*",'Accounting data'!$J$2:$J$37000,"21*",'Accounting data'!$K$2:$K$37000,"689*")</f>
        <v>0</v>
      </c>
    </row>
    <row r="1119" spans="1:5" x14ac:dyDescent="0.25">
      <c r="A1119" s="524" t="s">
        <v>963</v>
      </c>
      <c r="B1119" s="524" t="s">
        <v>965</v>
      </c>
      <c r="C1119" s="524">
        <v>2100</v>
      </c>
      <c r="D1119" s="533">
        <v>6890</v>
      </c>
      <c r="E1119" s="525">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0" spans="1:5" x14ac:dyDescent="0.25">
      <c r="A1120" s="526" t="s">
        <v>964</v>
      </c>
      <c r="B1120" s="524" t="s">
        <v>965</v>
      </c>
      <c r="C1120" s="524">
        <v>2100</v>
      </c>
      <c r="D1120" s="533">
        <v>6890</v>
      </c>
      <c r="E1120" s="525">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3" spans="1:5" x14ac:dyDescent="0.25">
      <c r="A1123" s="527" t="s">
        <v>1046</v>
      </c>
      <c r="B1123" s="527"/>
      <c r="C1123" s="527"/>
      <c r="D1123" s="527"/>
      <c r="E1123" s="529">
        <f>(E1117-E1118-E1119)+(E1120+E1121+E1122)</f>
        <v>0</v>
      </c>
    </row>
    <row r="1124" spans="1:5" x14ac:dyDescent="0.25">
      <c r="A1124" s="524" t="s">
        <v>963</v>
      </c>
      <c r="B1124" s="524" t="s">
        <v>963</v>
      </c>
      <c r="C1124" s="524">
        <v>2200</v>
      </c>
      <c r="D1124" s="533">
        <v>6890</v>
      </c>
      <c r="E1124" s="525">
        <f>SUMIFS('Accounting data'!$G$2:$G$37000,'Accounting data'!$J$2:$J$37000,"22*",'Accounting data'!$K$2:$K$37000,"689*")</f>
        <v>0</v>
      </c>
    </row>
    <row r="1125" spans="1:5" x14ac:dyDescent="0.25">
      <c r="A1125" s="524" t="s">
        <v>964</v>
      </c>
      <c r="B1125" s="524" t="s">
        <v>963</v>
      </c>
      <c r="C1125" s="524">
        <v>2200</v>
      </c>
      <c r="D1125" s="533">
        <v>6890</v>
      </c>
      <c r="E1125" s="525">
        <f>SUMIFS('Accounting data'!$G$2:$G$37000,'Accounting data'!$H$2:$H$37000,"9999*",'Accounting data'!$J$2:$J$37000,"22*",'Accounting data'!$K$2:$K$37000,"689*")</f>
        <v>0</v>
      </c>
    </row>
    <row r="1126" spans="1:5" x14ac:dyDescent="0.25">
      <c r="A1126" s="524" t="s">
        <v>963</v>
      </c>
      <c r="B1126" s="524" t="s">
        <v>965</v>
      </c>
      <c r="C1126" s="524">
        <v>2200</v>
      </c>
      <c r="D1126" s="533">
        <v>6890</v>
      </c>
      <c r="E1126" s="525">
        <f>SUMIFS('Accounting data'!$G$2:$G$37000,'Accounting data'!$I$2:$I$37000,"7*",'Accounting data'!$J$2:$J$37000,"22*",'Accounting data'!$K$2:$K$37000,"689*")+SUMIFS('Accounting data'!$G$2:$G$37000,'Accounting data'!$I$2:$I$37000,"8*",'Accounting data'!$J$2:$J$37000,"22*",'Accounting data'!$K$2:$K$37000,"689*")+SUMIFS('Accounting data'!$G$2:$G$37000,'Accounting data'!$I$2:$I$37000,"9*",'Accounting data'!$J$2:$J$37000,"22*",'Accounting data'!$K$2:$K$37000,"689*")</f>
        <v>0</v>
      </c>
    </row>
    <row r="1127" spans="1:5" x14ac:dyDescent="0.25">
      <c r="A1127" s="526" t="s">
        <v>964</v>
      </c>
      <c r="B1127" s="524" t="s">
        <v>965</v>
      </c>
      <c r="C1127" s="524">
        <v>2200</v>
      </c>
      <c r="D1127" s="533">
        <v>6890</v>
      </c>
      <c r="E1127" s="525">
        <f>SUMIFS('Accounting data'!$G$2:$G$37000,'Accounting data'!$H$2:$H$37000,"9999*",'Accounting data'!$I$2:$I$37000,"7*",'Accounting data'!$J$2:$J$37000,"22*",'Accounting data'!$K$2:$K$37000,"689*")+SUMIFS('Accounting data'!$G$2:$G$37000,'Accounting data'!$H$2:$H$37000,"9999*",'Accounting data'!$I$2:$I$37000,"8*",'Accounting data'!$J$2:$J$37000,"22*",'Accounting data'!$K$2:$K$37000,"689*")+SUMIFS('Accounting data'!$G$2:$G$37000,'Accounting data'!$H$2:$H$37000,"9999*",'Accounting data'!$I$2:$I$37000,"9*",'Accounting data'!$J$2:$J$37000,"22*",'Accounting data'!$K$2:$K$37000,"689*")</f>
        <v>0</v>
      </c>
    </row>
    <row r="1128" spans="1:5" x14ac:dyDescent="0.25">
      <c r="A1128" s="524"/>
      <c r="B1128" s="524"/>
      <c r="C1128" s="524"/>
      <c r="D1128" s="533"/>
      <c r="E1128" s="525"/>
    </row>
    <row r="1129" spans="1:5" x14ac:dyDescent="0.25">
      <c r="A1129" s="524"/>
      <c r="B1129" s="524"/>
      <c r="C1129" s="524"/>
      <c r="D1129" s="533"/>
      <c r="E1129" s="525"/>
    </row>
    <row r="1130" spans="1:5" x14ac:dyDescent="0.25">
      <c r="A1130" s="527" t="s">
        <v>1047</v>
      </c>
      <c r="B1130" s="527"/>
      <c r="C1130" s="527"/>
      <c r="D1130" s="527"/>
      <c r="E1130" s="529">
        <f>(E1124-E1125-E1126)+(E1127+E1128+E1129)</f>
        <v>0</v>
      </c>
    </row>
    <row r="1131" spans="1:5" x14ac:dyDescent="0.25">
      <c r="A1131" s="524" t="s">
        <v>963</v>
      </c>
      <c r="B1131" s="524" t="s">
        <v>963</v>
      </c>
      <c r="C1131" s="524">
        <v>2300</v>
      </c>
      <c r="D1131" s="533">
        <v>6890</v>
      </c>
      <c r="E1131" s="525">
        <f>SUMIFS('Accounting data'!$G$2:$G$37000,'Accounting data'!$J$2:$J$37000,"23*",'Accounting data'!$K$2:$K$37000,"689*")</f>
        <v>0</v>
      </c>
    </row>
    <row r="1132" spans="1:5" x14ac:dyDescent="0.25">
      <c r="A1132" s="524" t="s">
        <v>964</v>
      </c>
      <c r="B1132" s="524" t="s">
        <v>963</v>
      </c>
      <c r="C1132" s="524">
        <v>2300</v>
      </c>
      <c r="D1132" s="533">
        <v>6890</v>
      </c>
      <c r="E1132" s="525">
        <f>SUMIFS('Accounting data'!$G$2:$G$37000,'Accounting data'!$H$2:$H$37000,"9999*",'Accounting data'!$J$2:$J$37000,"23*",'Accounting data'!$K$2:$K$37000,"689*")</f>
        <v>0</v>
      </c>
    </row>
    <row r="1133" spans="1:5" x14ac:dyDescent="0.25">
      <c r="A1133" s="524" t="s">
        <v>963</v>
      </c>
      <c r="B1133" s="524" t="s">
        <v>965</v>
      </c>
      <c r="C1133" s="524">
        <v>2300</v>
      </c>
      <c r="D1133" s="533">
        <v>6890</v>
      </c>
      <c r="E1133" s="525">
        <f>SUMIFS('Accounting data'!$G$2:$G$37000,'Accounting data'!$I$2:$I$37000,"7*",'Accounting data'!$J$2:$J$37000,"23*",'Accounting data'!$K$2:$K$37000,"689*")+SUMIFS('Accounting data'!$G$2:$G$37000,'Accounting data'!$I$2:$I$37000,"8*",'Accounting data'!$J$2:$J$37000,"23*",'Accounting data'!$K$2:$K$37000,"689*")+SUMIFS('Accounting data'!$G$2:$G$37000,'Accounting data'!$I$2:$I$37000,"9*",'Accounting data'!$J$2:$J$37000,"23*",'Accounting data'!$K$2:$K$37000,"689*")</f>
        <v>0</v>
      </c>
    </row>
    <row r="1134" spans="1:5" x14ac:dyDescent="0.25">
      <c r="A1134" s="526" t="s">
        <v>964</v>
      </c>
      <c r="B1134" s="524" t="s">
        <v>965</v>
      </c>
      <c r="C1134" s="524">
        <v>2300</v>
      </c>
      <c r="D1134" s="533">
        <v>6890</v>
      </c>
      <c r="E1134" s="525">
        <f>SUMIFS('Accounting data'!$G$2:$G$37000,'Accounting data'!$H$2:$H$37000,"9999*",'Accounting data'!$I$2:$I$37000,"7*",'Accounting data'!$J$2:$J$37000,"23*",'Accounting data'!$K$2:$K$37000,"689*")+SUMIFS('Accounting data'!$G$2:$G$37000,'Accounting data'!$H$2:$H$37000,"9999*",'Accounting data'!$I$2:$I$37000,"8*",'Accounting data'!$J$2:$J$37000,"23*",'Accounting data'!$K$2:$K$37000,"689*")+SUMIFS('Accounting data'!$G$2:$G$37000,'Accounting data'!$H$2:$H$37000,"9999*",'Accounting data'!$I$2:$I$37000,"9*",'Accounting data'!$J$2:$J$37000,"23*",'Accounting data'!$K$2:$K$37000,"689*")</f>
        <v>0</v>
      </c>
    </row>
    <row r="1137" spans="1:5" x14ac:dyDescent="0.25">
      <c r="A1137" s="527" t="s">
        <v>1048</v>
      </c>
      <c r="B1137" s="527"/>
      <c r="C1137" s="527"/>
      <c r="D1137" s="527"/>
      <c r="E1137" s="529">
        <f>(E1131-E1132-E1133)+(E1134+E1135+E1136)</f>
        <v>0</v>
      </c>
    </row>
    <row r="1138" spans="1:5" x14ac:dyDescent="0.25">
      <c r="A1138" s="524" t="s">
        <v>963</v>
      </c>
      <c r="B1138" s="524" t="s">
        <v>963</v>
      </c>
      <c r="C1138" s="524">
        <v>2400</v>
      </c>
      <c r="D1138" s="533">
        <v>6890</v>
      </c>
      <c r="E1138" s="525">
        <f>SUMIFS('Accounting data'!$G$2:$G$37000,'Accounting data'!$J$2:$J$37000,"24*",'Accounting data'!$K$2:$K$37000,"689*")</f>
        <v>0</v>
      </c>
    </row>
    <row r="1139" spans="1:5" x14ac:dyDescent="0.25">
      <c r="A1139" s="524" t="s">
        <v>964</v>
      </c>
      <c r="B1139" s="524" t="s">
        <v>963</v>
      </c>
      <c r="C1139" s="524">
        <v>2400</v>
      </c>
      <c r="D1139" s="533">
        <v>6890</v>
      </c>
      <c r="E1139" s="525">
        <f>SUMIFS('Accounting data'!$G$2:$G$37000,'Accounting data'!$H$2:$H$37000,"9999*",'Accounting data'!$J$2:$J$37000,"24*",'Accounting data'!$K$2:$K$37000,"689*")</f>
        <v>0</v>
      </c>
    </row>
    <row r="1140" spans="1:5" x14ac:dyDescent="0.25">
      <c r="A1140" s="524" t="s">
        <v>963</v>
      </c>
      <c r="B1140" s="524" t="s">
        <v>965</v>
      </c>
      <c r="C1140" s="524">
        <v>2400</v>
      </c>
      <c r="D1140" s="533">
        <v>6890</v>
      </c>
      <c r="E1140" s="525">
        <f>SUMIFS('Accounting data'!$G$2:$G$37000,'Accounting data'!$I$2:$I$37000,"7*",'Accounting data'!$J$2:$J$37000,"24*",'Accounting data'!$K$2:$K$37000,"689*")+SUMIFS('Accounting data'!$G$2:$G$37000,'Accounting data'!$I$2:$I$37000,"8*",'Accounting data'!$J$2:$J$37000,"24*",'Accounting data'!$K$2:$K$37000,"689*")+SUMIFS('Accounting data'!$G$2:$G$37000,'Accounting data'!$I$2:$I$37000,"9*",'Accounting data'!$J$2:$J$37000,"24*",'Accounting data'!$K$2:$K$37000,"689*")</f>
        <v>0</v>
      </c>
    </row>
    <row r="1141" spans="1:5" x14ac:dyDescent="0.25">
      <c r="A1141" s="526" t="s">
        <v>964</v>
      </c>
      <c r="B1141" s="524" t="s">
        <v>965</v>
      </c>
      <c r="C1141" s="524">
        <v>2400</v>
      </c>
      <c r="D1141" s="533">
        <v>6890</v>
      </c>
      <c r="E1141" s="525">
        <f>SUMIFS('Accounting data'!$G$2:$G$37000,'Accounting data'!$H$2:$H$37000,"9999*",'Accounting data'!$I$2:$I$37000,"7*",'Accounting data'!$J$2:$J$37000,"24*",'Accounting data'!$K$2:$K$37000,"689*")+SUMIFS('Accounting data'!$G$2:$G$37000,'Accounting data'!$H$2:$H$37000,"9999*",'Accounting data'!$I$2:$I$37000,"8*",'Accounting data'!$J$2:$J$37000,"24*",'Accounting data'!$K$2:$K$37000,"689*")+SUMIFS('Accounting data'!$G$2:$G$37000,'Accounting data'!$H$2:$H$37000,"9999*",'Accounting data'!$I$2:$I$37000,"9*",'Accounting data'!$J$2:$J$37000,"24*",'Accounting data'!$K$2:$K$37000,"689*")</f>
        <v>0</v>
      </c>
    </row>
    <row r="1142" spans="1:5" x14ac:dyDescent="0.25">
      <c r="A1142" s="524"/>
      <c r="B1142" s="524"/>
      <c r="C1142" s="524"/>
      <c r="D1142" s="533"/>
      <c r="E1142" s="525"/>
    </row>
    <row r="1143" spans="1:5" x14ac:dyDescent="0.25">
      <c r="A1143" s="524"/>
      <c r="B1143" s="524"/>
      <c r="C1143" s="524"/>
      <c r="D1143" s="533"/>
      <c r="E1143" s="525"/>
    </row>
    <row r="1144" spans="1:5" x14ac:dyDescent="0.25">
      <c r="A1144" s="527" t="s">
        <v>1049</v>
      </c>
      <c r="B1144" s="527"/>
      <c r="C1144" s="527"/>
      <c r="D1144" s="527"/>
      <c r="E1144" s="529">
        <f>(E1138-E1139-E1140)+(E1141+E1142+E1143)</f>
        <v>0</v>
      </c>
    </row>
    <row r="1145" spans="1:5" x14ac:dyDescent="0.25">
      <c r="A1145" s="524" t="s">
        <v>963</v>
      </c>
      <c r="B1145" s="524" t="s">
        <v>963</v>
      </c>
      <c r="C1145" s="524">
        <v>2500</v>
      </c>
      <c r="D1145" s="533">
        <v>6890</v>
      </c>
      <c r="E1145" s="525">
        <f>SUMIFS('Accounting data'!$G$2:$G$37000,'Accounting data'!$J$2:$J$37000,"25*",'Accounting data'!$K$2:$K$37000,"689*")</f>
        <v>0</v>
      </c>
    </row>
    <row r="1146" spans="1:5" x14ac:dyDescent="0.25">
      <c r="A1146" s="524" t="s">
        <v>964</v>
      </c>
      <c r="B1146" s="524" t="s">
        <v>963</v>
      </c>
      <c r="C1146" s="524">
        <v>2500</v>
      </c>
      <c r="D1146" s="533">
        <v>6890</v>
      </c>
      <c r="E1146" s="525">
        <f>SUMIFS('Accounting data'!$G$2:$G$37000,'Accounting data'!$H$2:$H$37000,"9999*",'Accounting data'!$J$2:$J$37000,"25*",'Accounting data'!$K$2:$K$37000,"689*")</f>
        <v>0</v>
      </c>
    </row>
    <row r="1147" spans="1:5" x14ac:dyDescent="0.25">
      <c r="A1147" s="524" t="s">
        <v>963</v>
      </c>
      <c r="B1147" s="524" t="s">
        <v>965</v>
      </c>
      <c r="C1147" s="524">
        <v>2500</v>
      </c>
      <c r="D1147" s="533">
        <v>6890</v>
      </c>
      <c r="E1147" s="525">
        <f>SUMIFS('Accounting data'!$G$2:$G$37000,'Accounting data'!$I$2:$I$37000,"7*",'Accounting data'!$J$2:$J$37000,"25*",'Accounting data'!$K$2:$K$37000,"689*")+SUMIFS('Accounting data'!$G$2:$G$37000,'Accounting data'!$I$2:$I$37000,"8*",'Accounting data'!$J$2:$J$37000,"25*",'Accounting data'!$K$2:$K$37000,"689*")+SUMIFS('Accounting data'!$G$2:$G$37000,'Accounting data'!$I$2:$I$37000,"9*",'Accounting data'!$J$2:$J$37000,"25*",'Accounting data'!$K$2:$K$37000,"689*")</f>
        <v>0</v>
      </c>
    </row>
    <row r="1148" spans="1:5" x14ac:dyDescent="0.25">
      <c r="A1148" s="526" t="s">
        <v>964</v>
      </c>
      <c r="B1148" s="524" t="s">
        <v>965</v>
      </c>
      <c r="C1148" s="524">
        <v>2500</v>
      </c>
      <c r="D1148" s="533">
        <v>6890</v>
      </c>
      <c r="E1148" s="525">
        <f>SUMIFS('Accounting data'!$G$2:$G$37000,'Accounting data'!$H$2:$H$37000,"9999*",'Accounting data'!$I$2:$I$37000,"7*",'Accounting data'!$J$2:$J$37000,"25*",'Accounting data'!$K$2:$K$37000,"689*")+SUMIFS('Accounting data'!$G$2:$G$37000,'Accounting data'!$H$2:$H$37000,"9999*",'Accounting data'!$I$2:$I$37000,"8*",'Accounting data'!$J$2:$J$37000,"25*",'Accounting data'!$K$2:$K$37000,"689*")+SUMIFS('Accounting data'!$G$2:$G$37000,'Accounting data'!$H$2:$H$37000,"9999*",'Accounting data'!$I$2:$I$37000,"9*",'Accounting data'!$J$2:$J$37000,"25*",'Accounting data'!$K$2:$K$37000,"689*")</f>
        <v>0</v>
      </c>
    </row>
    <row r="1149" spans="1:5" x14ac:dyDescent="0.25">
      <c r="A1149" s="524"/>
      <c r="B1149" s="524"/>
      <c r="C1149" s="524"/>
      <c r="D1149" s="533"/>
      <c r="E1149" s="525"/>
    </row>
    <row r="1150" spans="1:5" x14ac:dyDescent="0.25">
      <c r="A1150" s="524"/>
      <c r="B1150" s="524"/>
      <c r="C1150" s="524"/>
      <c r="D1150" s="533"/>
      <c r="E1150" s="525"/>
    </row>
    <row r="1151" spans="1:5" x14ac:dyDescent="0.25">
      <c r="A1151" s="527" t="s">
        <v>1050</v>
      </c>
      <c r="B1151" s="527"/>
      <c r="C1151" s="527"/>
      <c r="D1151" s="527"/>
      <c r="E1151" s="529">
        <f>(E1145-E1146-E1147)+(E1148+E1149+E1150)</f>
        <v>0</v>
      </c>
    </row>
    <row r="1152" spans="1:5" x14ac:dyDescent="0.25">
      <c r="A1152" s="524" t="s">
        <v>963</v>
      </c>
      <c r="B1152" s="524" t="s">
        <v>963</v>
      </c>
      <c r="C1152" s="524">
        <v>2900</v>
      </c>
      <c r="D1152" s="533">
        <v>6890</v>
      </c>
      <c r="E1152" s="525">
        <f>SUMIFS('Accounting data'!$G$2:$G$37000,'Accounting data'!$J$2:$J$37000,"29*",'Accounting data'!$K$2:$K$37000,"689*")</f>
        <v>0</v>
      </c>
    </row>
    <row r="1153" spans="1:5" x14ac:dyDescent="0.25">
      <c r="A1153" s="524" t="s">
        <v>964</v>
      </c>
      <c r="B1153" s="524" t="s">
        <v>963</v>
      </c>
      <c r="C1153" s="524">
        <v>2900</v>
      </c>
      <c r="D1153" s="533">
        <v>6890</v>
      </c>
      <c r="E1153" s="525">
        <f>SUMIFS('Accounting data'!$G$2:$G$37000,'Accounting data'!$H$2:$H$37000,"9999*",'Accounting data'!$J$2:$J$37000,"29*",'Accounting data'!$K$2:$K$37000,"689*")</f>
        <v>0</v>
      </c>
    </row>
    <row r="1154" spans="1:5" x14ac:dyDescent="0.25">
      <c r="A1154" s="524" t="s">
        <v>963</v>
      </c>
      <c r="B1154" s="524" t="s">
        <v>965</v>
      </c>
      <c r="C1154" s="524">
        <v>2900</v>
      </c>
      <c r="D1154" s="533">
        <v>6890</v>
      </c>
      <c r="E1154" s="525">
        <f>SUMIFS('Accounting data'!$G$2:$G$37000,'Accounting data'!$I$2:$I$37000,"7*",'Accounting data'!$J$2:$J$37000,"29*",'Accounting data'!$K$2:$K$37000,"689*")+SUMIFS('Accounting data'!$G$2:$G$37000,'Accounting data'!$I$2:$I$37000,"8*",'Accounting data'!$J$2:$J$37000,"29*",'Accounting data'!$K$2:$K$37000,"689*")+SUMIFS('Accounting data'!$G$2:$G$37000,'Accounting data'!$I$2:$I$37000,"9*",'Accounting data'!$J$2:$J$37000,"29*",'Accounting data'!$K$2:$K$37000,"689*")</f>
        <v>0</v>
      </c>
    </row>
    <row r="1155" spans="1:5" x14ac:dyDescent="0.25">
      <c r="A1155" s="526" t="s">
        <v>964</v>
      </c>
      <c r="B1155" s="524" t="s">
        <v>965</v>
      </c>
      <c r="C1155" s="524">
        <v>2900</v>
      </c>
      <c r="D1155" s="533">
        <v>6890</v>
      </c>
      <c r="E1155" s="525">
        <f>SUMIFS('Accounting data'!$G$2:$G$37000,'Accounting data'!$H$2:$H$37000,"9999*",'Accounting data'!$I$2:$I$37000,"7*",'Accounting data'!$J$2:$J$37000,"29*",'Accounting data'!$K$2:$K$37000,"689*")+SUMIFS('Accounting data'!$G$2:$G$37000,'Accounting data'!$H$2:$H$37000,"9999*",'Accounting data'!$I$2:$I$37000,"8*",'Accounting data'!$J$2:$J$37000,"29*",'Accounting data'!$K$2:$K$37000,"689*")+SUMIFS('Accounting data'!$G$2:$G$37000,'Accounting data'!$H$2:$H$37000,"9999*",'Accounting data'!$I$2:$I$37000,"9*",'Accounting data'!$J$2:$J$37000,"29*",'Accounting data'!$K$2:$K$37000,"689*")</f>
        <v>0</v>
      </c>
    </row>
    <row r="1156" spans="1:5" x14ac:dyDescent="0.25">
      <c r="A1156" s="524"/>
      <c r="B1156" s="524"/>
      <c r="C1156" s="524"/>
      <c r="D1156" s="533"/>
      <c r="E1156" s="525"/>
    </row>
    <row r="1157" spans="1:5" x14ac:dyDescent="0.25">
      <c r="A1157" s="524"/>
      <c r="B1157" s="524"/>
      <c r="C1157" s="524"/>
      <c r="D1157" s="533"/>
      <c r="E1157" s="525"/>
    </row>
    <row r="1158" spans="1:5" x14ac:dyDescent="0.25">
      <c r="A1158" s="527" t="s">
        <v>1051</v>
      </c>
      <c r="B1158" s="527"/>
      <c r="C1158" s="527"/>
      <c r="D1158" s="527"/>
      <c r="E1158" s="529">
        <f>(E1152-E1153-E1154)+(E1155+E1156+E1157)</f>
        <v>0</v>
      </c>
    </row>
    <row r="1159" spans="1:5" x14ac:dyDescent="0.25">
      <c r="A1159" s="524" t="s">
        <v>963</v>
      </c>
      <c r="B1159" s="524" t="s">
        <v>963</v>
      </c>
      <c r="C1159" s="524">
        <v>2600</v>
      </c>
      <c r="D1159" s="533">
        <v>6890</v>
      </c>
      <c r="E1159" s="525">
        <f>SUMIFS('Accounting data'!$G$2:$G$37000,'Accounting data'!$J$2:$J$37000,"26*",'Accounting data'!$K$2:$K$37000,"689*")</f>
        <v>0</v>
      </c>
    </row>
    <row r="1160" spans="1:5" x14ac:dyDescent="0.25">
      <c r="A1160" s="524" t="s">
        <v>964</v>
      </c>
      <c r="B1160" s="524" t="s">
        <v>963</v>
      </c>
      <c r="C1160" s="524">
        <v>2600</v>
      </c>
      <c r="D1160" s="533">
        <v>6890</v>
      </c>
      <c r="E1160" s="525">
        <f>SUMIFS('Accounting data'!$G$2:$G$37000,'Accounting data'!$H$2:$H$37000,"9999*",'Accounting data'!$J$2:$J$37000,"26*",'Accounting data'!$K$2:$K$37000,"689*")</f>
        <v>0</v>
      </c>
    </row>
    <row r="1161" spans="1:5" x14ac:dyDescent="0.25">
      <c r="A1161" s="524" t="s">
        <v>963</v>
      </c>
      <c r="B1161" s="524" t="s">
        <v>965</v>
      </c>
      <c r="C1161" s="524">
        <v>2600</v>
      </c>
      <c r="D1161" s="533">
        <v>6890</v>
      </c>
      <c r="E1161" s="525">
        <f>SUMIFS('Accounting data'!$G$2:$G$37000,'Accounting data'!$I$2:$I$37000,"7*",'Accounting data'!$J$2:$J$37000,"26*",'Accounting data'!$K$2:$K$37000,"689*")+SUMIFS('Accounting data'!$G$2:$G$37000,'Accounting data'!$I$2:$I$37000,"8*",'Accounting data'!$J$2:$J$37000,"26*",'Accounting data'!$K$2:$K$37000,"689*")+SUMIFS('Accounting data'!$G$2:$G$37000,'Accounting data'!$I$2:$I$37000,"9*",'Accounting data'!$J$2:$J$37000,"26*",'Accounting data'!$K$2:$K$37000,"689*")</f>
        <v>0</v>
      </c>
    </row>
    <row r="1162" spans="1:5" x14ac:dyDescent="0.25">
      <c r="A1162" s="526" t="s">
        <v>964</v>
      </c>
      <c r="B1162" s="524" t="s">
        <v>965</v>
      </c>
      <c r="C1162" s="524">
        <v>2600</v>
      </c>
      <c r="D1162" s="533">
        <v>6890</v>
      </c>
      <c r="E1162" s="525">
        <f>SUMIFS('Accounting data'!$G$2:$G$37000,'Accounting data'!$H$2:$H$37000,"9999*",'Accounting data'!$I$2:$I$37000,"7*",'Accounting data'!$J$2:$J$37000,"26*",'Accounting data'!$K$2:$K$37000,"689*")+SUMIFS('Accounting data'!$G$2:$G$37000,'Accounting data'!$H$2:$H$37000,"9999*",'Accounting data'!$I$2:$I$37000,"8*",'Accounting data'!$J$2:$J$37000,"26*",'Accounting data'!$K$2:$K$37000,"689*")+SUMIFS('Accounting data'!$G$2:$G$37000,'Accounting data'!$H$2:$H$37000,"9999*",'Accounting data'!$I$2:$I$37000,"9*",'Accounting data'!$J$2:$J$37000,"26*",'Accounting data'!$K$2:$K$37000,"689*")</f>
        <v>0</v>
      </c>
    </row>
    <row r="1163" spans="1:5" x14ac:dyDescent="0.25">
      <c r="A1163" s="524"/>
      <c r="B1163" s="524"/>
      <c r="C1163" s="524"/>
      <c r="D1163" s="533"/>
      <c r="E1163" s="525"/>
    </row>
    <row r="1164" spans="1:5" x14ac:dyDescent="0.25">
      <c r="A1164" s="524"/>
      <c r="B1164" s="524"/>
      <c r="C1164" s="524"/>
      <c r="D1164" s="533"/>
      <c r="E1164" s="525"/>
    </row>
    <row r="1165" spans="1:5" x14ac:dyDescent="0.25">
      <c r="A1165" s="527" t="s">
        <v>1052</v>
      </c>
      <c r="B1165" s="527"/>
      <c r="C1165" s="527"/>
      <c r="D1165" s="527"/>
      <c r="E1165" s="529">
        <f>(E1159-E1160-E1161)+(E1162+E1163+E1164)</f>
        <v>0</v>
      </c>
    </row>
    <row r="1166" spans="1:5" x14ac:dyDescent="0.25">
      <c r="A1166" s="524" t="s">
        <v>963</v>
      </c>
      <c r="B1166" s="524" t="s">
        <v>963</v>
      </c>
      <c r="C1166" s="524">
        <v>2700</v>
      </c>
      <c r="D1166" s="533">
        <v>6890</v>
      </c>
      <c r="E1166" s="525">
        <f>SUMIFS('Accounting data'!$G$2:$G$37000,'Accounting data'!$J$2:$J$37000,"27*",'Accounting data'!$K$2:$K$37000,"689*")</f>
        <v>0</v>
      </c>
    </row>
    <row r="1167" spans="1:5" x14ac:dyDescent="0.25">
      <c r="A1167" s="524" t="s">
        <v>964</v>
      </c>
      <c r="B1167" s="524" t="s">
        <v>963</v>
      </c>
      <c r="C1167" s="524">
        <v>2700</v>
      </c>
      <c r="D1167" s="533">
        <v>6890</v>
      </c>
      <c r="E1167" s="525">
        <f>SUMIFS('Accounting data'!$G$2:$G$37000,'Accounting data'!$H$2:$H$37000,"9999*",'Accounting data'!$J$2:$J$37000,"27*",'Accounting data'!$K$2:$K$37000,"689*")</f>
        <v>0</v>
      </c>
    </row>
    <row r="1168" spans="1:5" x14ac:dyDescent="0.25">
      <c r="A1168" s="524" t="s">
        <v>963</v>
      </c>
      <c r="B1168" s="524" t="s">
        <v>965</v>
      </c>
      <c r="C1168" s="524">
        <v>2700</v>
      </c>
      <c r="D1168" s="533">
        <v>6890</v>
      </c>
      <c r="E1168" s="525">
        <f>SUMIFS('Accounting data'!$G$2:$G$37000,'Accounting data'!$I$2:$I$37000,"7*",'Accounting data'!$J$2:$J$37000,"27*",'Accounting data'!$K$2:$K$37000,"689*")+SUMIFS('Accounting data'!$G$2:$G$37000,'Accounting data'!$I$2:$I$37000,"8*",'Accounting data'!$J$2:$J$37000,"27*",'Accounting data'!$K$2:$K$37000,"689*")+SUMIFS('Accounting data'!$G$2:$G$37000,'Accounting data'!$I$2:$I$37000,"9*",'Accounting data'!$J$2:$J$37000,"27*",'Accounting data'!$K$2:$K$37000,"689*")</f>
        <v>0</v>
      </c>
    </row>
    <row r="1169" spans="1:5" x14ac:dyDescent="0.25">
      <c r="A1169" s="526" t="s">
        <v>964</v>
      </c>
      <c r="B1169" s="524" t="s">
        <v>965</v>
      </c>
      <c r="C1169" s="524">
        <v>2700</v>
      </c>
      <c r="D1169" s="533">
        <v>6890</v>
      </c>
      <c r="E1169" s="525">
        <f>SUMIFS('Accounting data'!$G$2:$G$37000,'Accounting data'!$H$2:$H$37000,"9999*",'Accounting data'!$I$2:$I$37000,"7*",'Accounting data'!$J$2:$J$37000,"27*",'Accounting data'!$K$2:$K$37000,"689*")+SUMIFS('Accounting data'!$G$2:$G$37000,'Accounting data'!$H$2:$H$37000,"9999*",'Accounting data'!$I$2:$I$37000,"8*",'Accounting data'!$J$2:$J$37000,"27*",'Accounting data'!$K$2:$K$37000,"689*")+SUMIFS('Accounting data'!$G$2:$G$37000,'Accounting data'!$H$2:$H$37000,"9999*",'Accounting data'!$I$2:$I$37000,"9*",'Accounting data'!$J$2:$J$37000,"27*",'Accounting data'!$K$2:$K$37000,"689*")</f>
        <v>0</v>
      </c>
    </row>
    <row r="1170" spans="1:5" x14ac:dyDescent="0.25">
      <c r="A1170" s="524"/>
      <c r="B1170" s="524"/>
      <c r="C1170" s="524"/>
      <c r="D1170" s="533"/>
      <c r="E1170" s="525"/>
    </row>
    <row r="1171" spans="1:5" x14ac:dyDescent="0.25">
      <c r="A1171" s="524"/>
      <c r="B1171" s="524"/>
      <c r="C1171" s="524"/>
      <c r="D1171" s="533"/>
      <c r="E1171" s="525"/>
    </row>
    <row r="1172" spans="1:5" x14ac:dyDescent="0.25">
      <c r="A1172" s="527" t="s">
        <v>1053</v>
      </c>
      <c r="B1172" s="527"/>
      <c r="C1172" s="527"/>
      <c r="D1172" s="527"/>
      <c r="E1172" s="529">
        <f>(E1166-E1167-E1168)+(E1169+E1170+E1171)</f>
        <v>0</v>
      </c>
    </row>
    <row r="1173" spans="1:5" x14ac:dyDescent="0.25">
      <c r="A1173" s="524" t="s">
        <v>963</v>
      </c>
      <c r="B1173" s="524" t="s">
        <v>963</v>
      </c>
      <c r="C1173" s="524">
        <v>3100</v>
      </c>
      <c r="D1173" s="533">
        <v>6890</v>
      </c>
      <c r="E1173" s="525">
        <f>SUMIFS('Accounting data'!$G$2:$G$37000,'Accounting data'!$J$2:$J$37000,"31*",'Accounting data'!$K$2:$K$37000,"689*")</f>
        <v>0</v>
      </c>
    </row>
    <row r="1174" spans="1:5" x14ac:dyDescent="0.25">
      <c r="A1174" s="524" t="s">
        <v>964</v>
      </c>
      <c r="B1174" s="524" t="s">
        <v>963</v>
      </c>
      <c r="C1174" s="524">
        <v>3100</v>
      </c>
      <c r="D1174" s="533">
        <v>6890</v>
      </c>
      <c r="E1174" s="525">
        <f>SUMIFS('Accounting data'!$G$2:$G$37000,'Accounting data'!$H$2:$H$37000,"9999*",'Accounting data'!$J$2:$J$37000,"31*",'Accounting data'!$K$2:$K$37000,"689*")</f>
        <v>0</v>
      </c>
    </row>
    <row r="1175" spans="1:5" x14ac:dyDescent="0.25">
      <c r="A1175" s="524" t="s">
        <v>963</v>
      </c>
      <c r="B1175" s="524" t="s">
        <v>965</v>
      </c>
      <c r="C1175" s="524">
        <v>3100</v>
      </c>
      <c r="D1175" s="533">
        <v>6890</v>
      </c>
      <c r="E1175" s="525">
        <f>SUMIFS('Accounting data'!$G$2:$G$37000,'Accounting data'!$I$2:$I$37000,"7*",'Accounting data'!$J$2:$J$37000,"31*",'Accounting data'!$K$2:$K$37000,"689*")+SUMIFS('Accounting data'!$G$2:$G$37000,'Accounting data'!$I$2:$I$37000,"8*",'Accounting data'!$J$2:$J$37000,"31*",'Accounting data'!$K$2:$K$37000,"689*")+SUMIFS('Accounting data'!$G$2:$G$37000,'Accounting data'!$I$2:$I$37000,"9*",'Accounting data'!$J$2:$J$37000,"31*",'Accounting data'!$K$2:$K$37000,"689*")</f>
        <v>0</v>
      </c>
    </row>
    <row r="1176" spans="1:5" x14ac:dyDescent="0.25">
      <c r="A1176" s="526" t="s">
        <v>964</v>
      </c>
      <c r="B1176" s="524" t="s">
        <v>965</v>
      </c>
      <c r="C1176" s="524">
        <v>3100</v>
      </c>
      <c r="D1176" s="533">
        <v>6890</v>
      </c>
      <c r="E1176" s="525">
        <f>SUMIFS('Accounting data'!$G$2:$G$37000,'Accounting data'!$H$2:$H$37000,"9999*",'Accounting data'!$I$2:$I$37000,"7*",'Accounting data'!$J$2:$J$37000,"31*",'Accounting data'!$K$2:$K$37000,"689*")+SUMIFS('Accounting data'!$G$2:$G$37000,'Accounting data'!$H$2:$H$37000,"9999*",'Accounting data'!$I$2:$I$37000,"8*",'Accounting data'!$J$2:$J$37000,"31*",'Accounting data'!$K$2:$K$37000,"689*")+SUMIFS('Accounting data'!$G$2:$G$37000,'Accounting data'!$H$2:$H$37000,"9999*",'Accounting data'!$I$2:$I$37000,"9*",'Accounting data'!$J$2:$J$37000,"31*",'Accounting data'!$K$2:$K$37000,"689*")</f>
        <v>0</v>
      </c>
    </row>
    <row r="1177" spans="1:5" x14ac:dyDescent="0.25">
      <c r="A1177" s="524"/>
      <c r="B1177" s="524"/>
      <c r="C1177" s="524"/>
      <c r="D1177" s="533"/>
      <c r="E1177" s="525"/>
    </row>
    <row r="1178" spans="1:5" x14ac:dyDescent="0.25">
      <c r="A1178" s="524"/>
      <c r="B1178" s="524"/>
      <c r="C1178" s="524"/>
      <c r="D1178" s="533"/>
      <c r="E1178" s="525"/>
    </row>
    <row r="1179" spans="1:5" x14ac:dyDescent="0.25">
      <c r="A1179" s="527" t="s">
        <v>1054</v>
      </c>
      <c r="B1179" s="527"/>
      <c r="C1179" s="527"/>
      <c r="D1179" s="527"/>
      <c r="E1179" s="529">
        <f>(E1173-E1174-E1175)+(E1176+E1177+E1178)</f>
        <v>0</v>
      </c>
    </row>
    <row r="1186" spans="1:5" x14ac:dyDescent="0.25">
      <c r="A1186" s="527" t="s">
        <v>1055</v>
      </c>
      <c r="B1186" s="527"/>
      <c r="C1186" s="527"/>
      <c r="D1186" s="527"/>
      <c r="E1186" s="529">
        <f>(E1180-E1181-E1182)+(E1183+E1184+E1185)</f>
        <v>0</v>
      </c>
    </row>
    <row r="1187" spans="1:5" x14ac:dyDescent="0.25">
      <c r="A1187" s="524" t="s">
        <v>963</v>
      </c>
      <c r="B1187" s="524" t="s">
        <v>963</v>
      </c>
      <c r="C1187" s="524">
        <v>3400</v>
      </c>
      <c r="D1187" s="533">
        <v>6890</v>
      </c>
      <c r="E1187" s="525">
        <f>SUMIFS('Accounting data'!$G$2:$G$37000,'Accounting data'!$J$2:$J$37000,"34*",'Accounting data'!$K$2:$K$37000,"689*")</f>
        <v>0</v>
      </c>
    </row>
    <row r="1188" spans="1:5" x14ac:dyDescent="0.25">
      <c r="A1188" s="524" t="s">
        <v>964</v>
      </c>
      <c r="B1188" s="524" t="s">
        <v>963</v>
      </c>
      <c r="C1188" s="524">
        <v>3400</v>
      </c>
      <c r="D1188" s="533">
        <v>6890</v>
      </c>
      <c r="E1188" s="525">
        <f>SUMIFS('Accounting data'!$G$2:$G$37000,'Accounting data'!$H$2:$H$37000,"9999*",'Accounting data'!$J$2:$J$37000,"34*",'Accounting data'!$K$2:$K$37000,"689*")</f>
        <v>0</v>
      </c>
    </row>
    <row r="1189" spans="1:5" x14ac:dyDescent="0.25">
      <c r="A1189" s="524" t="s">
        <v>963</v>
      </c>
      <c r="B1189" s="524" t="s">
        <v>965</v>
      </c>
      <c r="C1189" s="524">
        <v>3400</v>
      </c>
      <c r="D1189" s="533">
        <v>6890</v>
      </c>
      <c r="E1189" s="525">
        <f>SUMIFS('Accounting data'!$G$2:$G$37000,'Accounting data'!$I$2:$I$37000,"7*",'Accounting data'!$J$2:$J$37000,"34*",'Accounting data'!$K$2:$K$37000,"689*")+SUMIFS('Accounting data'!$G$2:$G$37000,'Accounting data'!$I$2:$I$37000,"8*",'Accounting data'!$J$2:$J$37000,"34*",'Accounting data'!$K$2:$K$37000,"689*")+SUMIFS('Accounting data'!$G$2:$G$37000,'Accounting data'!$I$2:$I$37000,"9*",'Accounting data'!$J$2:$J$37000,"34*",'Accounting data'!$K$2:$K$37000,"689*")</f>
        <v>0</v>
      </c>
    </row>
    <row r="1190" spans="1:5" x14ac:dyDescent="0.25">
      <c r="A1190" s="526" t="s">
        <v>964</v>
      </c>
      <c r="B1190" s="524" t="s">
        <v>965</v>
      </c>
      <c r="C1190" s="524">
        <v>3400</v>
      </c>
      <c r="D1190" s="533">
        <v>6890</v>
      </c>
      <c r="E1190" s="525">
        <f>SUMIFS('Accounting data'!$G$2:$G$37000,'Accounting data'!$H$2:$H$37000,"9999*",'Accounting data'!$I$2:$I$37000,"7*",'Accounting data'!$J$2:$J$37000,"34*",'Accounting data'!$K$2:$K$37000,"689*")+SUMIFS('Accounting data'!$G$2:$G$37000,'Accounting data'!$H$2:$H$37000,"9999*",'Accounting data'!$I$2:$I$37000,"8*",'Accounting data'!$J$2:$J$37000,"34*",'Accounting data'!$K$2:$K$37000,"689*")+SUMIFS('Accounting data'!$G$2:$G$37000,'Accounting data'!$H$2:$H$37000,"9999*",'Accounting data'!$I$2:$I$37000,"9*",'Accounting data'!$J$2:$J$37000,"34*",'Accounting data'!$K$2:$K$37000,"689*")</f>
        <v>0</v>
      </c>
    </row>
    <row r="1191" spans="1:5" x14ac:dyDescent="0.25">
      <c r="A1191" s="524"/>
      <c r="B1191" s="524"/>
      <c r="C1191" s="524"/>
      <c r="D1191" s="533"/>
      <c r="E1191" s="525"/>
    </row>
    <row r="1192" spans="1:5" x14ac:dyDescent="0.25">
      <c r="A1192" s="524"/>
      <c r="B1192" s="524"/>
      <c r="C1192" s="524"/>
      <c r="D1192" s="533"/>
      <c r="E1192" s="525"/>
    </row>
    <row r="1193" spans="1:5" x14ac:dyDescent="0.25">
      <c r="A1193" s="527" t="s">
        <v>1056</v>
      </c>
      <c r="B1193" s="527"/>
      <c r="C1193" s="527"/>
      <c r="D1193" s="527"/>
      <c r="E1193" s="529">
        <f>(E1187-E1188-E1189)+(E1190+E1191+E1192)</f>
        <v>0</v>
      </c>
    </row>
    <row r="1194" spans="1:5" x14ac:dyDescent="0.25">
      <c r="A1194" s="524" t="s">
        <v>963</v>
      </c>
      <c r="B1194" s="524" t="s">
        <v>963</v>
      </c>
      <c r="C1194" s="524">
        <v>4000</v>
      </c>
      <c r="D1194" s="533">
        <v>6890</v>
      </c>
      <c r="E1194" s="525">
        <f>SUMIFS('Accounting data'!$G$2:$G$37000,'Accounting data'!$J$2:$J$37000,"4*",'Accounting data'!$K$2:$K$37000,"689*")</f>
        <v>0</v>
      </c>
    </row>
    <row r="1195" spans="1:5" x14ac:dyDescent="0.25">
      <c r="A1195" s="524" t="s">
        <v>964</v>
      </c>
      <c r="B1195" s="524" t="s">
        <v>963</v>
      </c>
      <c r="C1195" s="524">
        <v>4000</v>
      </c>
      <c r="D1195" s="533">
        <v>6890</v>
      </c>
      <c r="E1195" s="525">
        <f>SUMIFS('Accounting data'!$G$2:$G$37000,'Accounting data'!$H$2:$H$37000,"9999*",'Accounting data'!$J$2:$J$37000,"4*",'Accounting data'!$K$2:$K$37000,"689*")</f>
        <v>0</v>
      </c>
    </row>
    <row r="1196" spans="1:5" x14ac:dyDescent="0.25">
      <c r="A1196" s="524" t="s">
        <v>963</v>
      </c>
      <c r="B1196" s="524" t="s">
        <v>965</v>
      </c>
      <c r="C1196" s="524">
        <v>4000</v>
      </c>
      <c r="D1196" s="533">
        <v>6890</v>
      </c>
      <c r="E1196" s="525">
        <f>SUMIFS('Accounting data'!$G$2:$G$37000,'Accounting data'!$I$2:$I$37000,"7*",'Accounting data'!$J$2:$J$37000,"4*",'Accounting data'!$K$2:$K$37000,"689*")+SUMIFS('Accounting data'!$G$2:$G$37000,'Accounting data'!$I$2:$I$37000,"8*",'Accounting data'!$J$2:$J$37000,"4*",'Accounting data'!$K$2:$K$37000,"689*")+SUMIFS('Accounting data'!$G$2:$G$37000,'Accounting data'!$I$2:$I$37000,"9*",'Accounting data'!$J$2:$J$37000,"4*",'Accounting data'!$K$2:$K$37000,"689*")</f>
        <v>0</v>
      </c>
    </row>
    <row r="1197" spans="1:5" x14ac:dyDescent="0.25">
      <c r="A1197" s="526" t="s">
        <v>964</v>
      </c>
      <c r="B1197" s="524" t="s">
        <v>965</v>
      </c>
      <c r="C1197" s="524">
        <v>4000</v>
      </c>
      <c r="D1197" s="533">
        <v>6890</v>
      </c>
      <c r="E1197" s="525">
        <f>SUMIFS('Accounting data'!$G$2:$G$37000,'Accounting data'!$H$2:$H$37000,"9999*",'Accounting data'!$I$2:$I$37000,"7*",'Accounting data'!$J$2:$J$37000,"4*",'Accounting data'!$K$2:$K$37000,"689*")+SUMIFS('Accounting data'!$G$2:$G$37000,'Accounting data'!$H$2:$H$37000,"9999*",'Accounting data'!$I$2:$I$37000,"8*",'Accounting data'!$J$2:$J$37000,"4*",'Accounting data'!$K$2:$K$37000,"689*")+SUMIFS('Accounting data'!$G$2:$G$37000,'Accounting data'!$H$2:$H$37000,"9999*",'Accounting data'!$I$2:$I$37000,"9*",'Accounting data'!$J$2:$J$37000,"4*",'Accounting data'!$K$2:$K$37000,"689*")</f>
        <v>0</v>
      </c>
    </row>
    <row r="1198" spans="1:5" x14ac:dyDescent="0.25">
      <c r="A1198" s="524"/>
      <c r="B1198" s="524"/>
      <c r="C1198" s="524"/>
      <c r="D1198" s="533"/>
      <c r="E1198" s="525"/>
    </row>
    <row r="1199" spans="1:5" x14ac:dyDescent="0.25">
      <c r="A1199" s="524"/>
      <c r="B1199" s="524"/>
      <c r="C1199" s="524"/>
      <c r="D1199" s="533"/>
      <c r="E1199" s="525"/>
    </row>
    <row r="1200" spans="1:5" x14ac:dyDescent="0.25">
      <c r="A1200" s="527" t="s">
        <v>1057</v>
      </c>
      <c r="B1200" s="527"/>
      <c r="C1200" s="527"/>
      <c r="D1200" s="527"/>
      <c r="E1200" s="529">
        <f>(E1194-E1195-E1196)+(E1197+E1198+E1199)</f>
        <v>0</v>
      </c>
    </row>
    <row r="1201" spans="1:5" x14ac:dyDescent="0.25">
      <c r="A1201" s="530" t="s">
        <v>1058</v>
      </c>
      <c r="B1201" s="530"/>
      <c r="C1201" s="530"/>
      <c r="D1201" s="530"/>
      <c r="E1201" s="534">
        <f>E1116+E1123+E1130+E1137+E1144+E1151+E1158+E1165+E1172+E1179+E1186+E1193</f>
        <v>0</v>
      </c>
    </row>
    <row r="1202" spans="1:5" x14ac:dyDescent="0.25">
      <c r="A1202" s="524" t="s">
        <v>979</v>
      </c>
      <c r="B1202" s="524" t="s">
        <v>963</v>
      </c>
      <c r="C1202" s="524">
        <v>1000</v>
      </c>
      <c r="D1202" s="524">
        <v>6890</v>
      </c>
      <c r="E1202" s="525">
        <f>SUMIFS('Accounting data'!$G$2:$G$37000,'Accounting data'!$H$2:$H$37000,"11*",'Accounting data'!$J$2:$J$37000,"1*",'Accounting data'!$K$2:$K$37000,"689*")+SUMIFS('Accounting data'!$G$2:$G$37000,'Accounting data'!$H$2:$H$37000,"12*",'Accounting data'!$J$2:$J$37000,"1*",'Accounting data'!$K$2:$K$37000,"689*")+SUMIFS('Accounting data'!$G$2:$G$37000,'Accounting data'!$H$2:$H$37000,"13*",'Accounting data'!$J$2:$J$37000,"1*",'Accounting data'!$K$2:$K$37000,"689*")</f>
        <v>0</v>
      </c>
    </row>
    <row r="1203" spans="1:5" x14ac:dyDescent="0.25">
      <c r="A1203" s="524" t="s">
        <v>979</v>
      </c>
      <c r="B1203" s="524" t="s">
        <v>963</v>
      </c>
      <c r="C1203" s="524">
        <v>2000</v>
      </c>
      <c r="D1203" s="524">
        <v>6890</v>
      </c>
      <c r="E1203" s="525">
        <f>SUMIFS('Accounting data'!$G$2:$G$37000,'Accounting data'!$H$2:$H$37000,"11*",'Accounting data'!$J$2:$J$37000,"2*",'Accounting data'!$K$2:$K$37000,"689*")+SUMIFS('Accounting data'!$G$2:$G$37000,'Accounting data'!$H$2:$H$37000,"12*",'Accounting data'!$J$2:$J$37000,"2*",'Accounting data'!$K$2:$K$37000,"689*")+SUMIFS('Accounting data'!$G$2:$G$37000,'Accounting data'!$H$2:$H$37000,"13*",'Accounting data'!$J$2:$J$37000,"2*",'Accounting data'!$K$2:$K$37000,"689*")</f>
        <v>0</v>
      </c>
    </row>
    <row r="1204" spans="1:5" x14ac:dyDescent="0.25">
      <c r="A1204" s="524" t="s">
        <v>979</v>
      </c>
      <c r="B1204" s="524" t="s">
        <v>963</v>
      </c>
      <c r="C1204" s="524">
        <v>3000</v>
      </c>
      <c r="D1204" s="524">
        <v>6890</v>
      </c>
      <c r="E1204" s="525">
        <f>SUMIFS('Accounting data'!$G$2:$G$37000,'Accounting data'!$H$2:$H$37000,"11*",'Accounting data'!$J$2:$J$37000,"3*",'Accounting data'!$K$2:$K$37000,"689*")+SUMIFS('Accounting data'!$G$2:$G$37000,'Accounting data'!$H$2:$H$37000,"12*",'Accounting data'!$J$2:$J$37000,"3*",'Accounting data'!$K$2:$K$37000,"689*")+SUMIFS('Accounting data'!$G$2:$G$37000,'Accounting data'!$H$2:$H$37000,"13*",'Accounting data'!$J$2:$J$37000,"3*",'Accounting data'!$K$2:$K$37000,"689*")</f>
        <v>0</v>
      </c>
    </row>
    <row r="1205" spans="1:5" x14ac:dyDescent="0.25">
      <c r="A1205" s="524" t="s">
        <v>979</v>
      </c>
      <c r="B1205" s="526">
        <v>700</v>
      </c>
      <c r="C1205" s="524">
        <v>1000</v>
      </c>
      <c r="D1205" s="524">
        <v>6890</v>
      </c>
      <c r="E1205" s="525">
        <f>SUMIFS('Accounting data'!$G$2:$G$37000,'Accounting data'!$H$2:$H$37000,"11*",'Accounting data'!$I$2:$I$37000,"7*",'Accounting data'!$J$2:$J$37000,"1*",'Accounting data'!$K$2:$K$37000,"689*")+SUMIFS('Accounting data'!$G$2:$G$37000,'Accounting data'!$H$2:$H$37000,"12*",'Accounting data'!$I$2:$I$37000,"7*",'Accounting data'!$J$2:$J$37000,"1*",'Accounting data'!$K$2:$K$37000,"689*")+SUMIFS('Accounting data'!$G$2:$G$37000,'Accounting data'!$H$2:$H$37000,"13*",'Accounting data'!$I$2:$I$37000,"7*",'Accounting data'!$J$2:$J$37000,"1*",'Accounting data'!$K$2:$K$37000,"689*")</f>
        <v>0</v>
      </c>
    </row>
    <row r="1206" spans="1:5" x14ac:dyDescent="0.25">
      <c r="A1206" s="524" t="s">
        <v>979</v>
      </c>
      <c r="B1206" s="526">
        <v>800</v>
      </c>
      <c r="C1206" s="524">
        <v>1000</v>
      </c>
      <c r="D1206" s="524">
        <v>6890</v>
      </c>
      <c r="E1206" s="525">
        <f>SUMIFS('Accounting data'!$G$2:$G$37000,'Accounting data'!$H$2:$H$37000,"11*",'Accounting data'!$I$2:$I$37000,"8*",'Accounting data'!$J$2:$J$37000,"1*",'Accounting data'!$K$2:$K$37000,"689*")+SUMIFS('Accounting data'!$G$2:$G$37000,'Accounting data'!$H$2:$H$37000,"12*",'Accounting data'!$I$2:$I$37000,"8*",'Accounting data'!$J$2:$J$37000,"1*",'Accounting data'!$K$2:$K$37000,"689*")+SUMIFS('Accounting data'!$G$2:$G$37000,'Accounting data'!$H$2:$H$37000,"13*",'Accounting data'!$I$2:$I$37000,"8*",'Accounting data'!$J$2:$J$37000,"1*",'Accounting data'!$K$2:$K$37000,"689*")</f>
        <v>0</v>
      </c>
    </row>
    <row r="1207" spans="1:5" x14ac:dyDescent="0.25">
      <c r="A1207" s="524" t="s">
        <v>979</v>
      </c>
      <c r="B1207" s="526">
        <v>900</v>
      </c>
      <c r="C1207" s="524">
        <v>1000</v>
      </c>
      <c r="D1207" s="524">
        <v>6890</v>
      </c>
      <c r="E1207" s="525">
        <f>SUMIFS('Accounting data'!$G$2:$G$37000,'Accounting data'!$H$2:$H$37000,"11*",'Accounting data'!$I$2:$I$37000,"9*",'Accounting data'!$J$2:$J$37000,"1*",'Accounting data'!$K$2:$K$37000,"689*")+SUMIFS('Accounting data'!$G$2:$G$37000,'Accounting data'!$H$2:$H$37000,"12*",'Accounting data'!$I$2:$I$37000,"9*",'Accounting data'!$J$2:$J$37000,"1*",'Accounting data'!$K$2:$K$37000,"689*")+SUMIFS('Accounting data'!$G$2:$G$37000,'Accounting data'!$H$2:$H$37000,"13*",'Accounting data'!$I$2:$I$37000,"9*",'Accounting data'!$J$2:$J$37000,"1*",'Accounting data'!$K$2:$K$37000,"689*")</f>
        <v>0</v>
      </c>
    </row>
    <row r="1208" spans="1:5" x14ac:dyDescent="0.25">
      <c r="A1208" s="524" t="s">
        <v>979</v>
      </c>
      <c r="B1208" s="526">
        <v>700</v>
      </c>
      <c r="C1208" s="524">
        <v>2000</v>
      </c>
      <c r="D1208" s="524">
        <v>6890</v>
      </c>
      <c r="E1208" s="525">
        <f>SUMIFS('Accounting data'!$G$2:$G$37000,'Accounting data'!$H$2:$H$37000,"11*",'Accounting data'!$I$2:$I$37000,"7*",'Accounting data'!$J$2:$J$37000,"2*",'Accounting data'!$K$2:$K$37000,"689*")+SUMIFS('Accounting data'!$G$2:$G$37000,'Accounting data'!$H$2:$H$37000,"12*",'Accounting data'!$I$2:$I$37000,"7*",'Accounting data'!$J$2:$J$37000,"2*",'Accounting data'!$K$2:$K$37000,"689*")+SUMIFS('Accounting data'!$G$2:$G$37000,'Accounting data'!$H$2:$H$37000,"13*",'Accounting data'!$I$2:$I$37000,"7*",'Accounting data'!$J$2:$J$37000,"2*",'Accounting data'!$K$2:$K$37000,"689*")</f>
        <v>0</v>
      </c>
    </row>
    <row r="1209" spans="1:5" x14ac:dyDescent="0.25">
      <c r="A1209" s="524" t="s">
        <v>979</v>
      </c>
      <c r="B1209" s="526">
        <v>800</v>
      </c>
      <c r="C1209" s="524">
        <v>2000</v>
      </c>
      <c r="D1209" s="524">
        <v>6890</v>
      </c>
      <c r="E1209" s="525">
        <f>SUMIFS('Accounting data'!$G$2:$G$37000,'Accounting data'!$H$2:$H$37000,"11*",'Accounting data'!$I$2:$I$37000,"8*",'Accounting data'!$J$2:$J$37000,"2*",'Accounting data'!$K$2:$K$37000,"689*")+SUMIFS('Accounting data'!$G$2:$G$37000,'Accounting data'!$H$2:$H$37000,"12*",'Accounting data'!$I$2:$I$37000,"8*",'Accounting data'!$J$2:$J$37000,"2*",'Accounting data'!$K$2:$K$37000,"689*")+SUMIFS('Accounting data'!$G$2:$G$37000,'Accounting data'!$H$2:$H$37000,"13*",'Accounting data'!$I$2:$I$37000,"8*",'Accounting data'!$J$2:$J$37000,"2*",'Accounting data'!$K$2:$K$37000,"689*")</f>
        <v>0</v>
      </c>
    </row>
    <row r="1210" spans="1:5" x14ac:dyDescent="0.25">
      <c r="A1210" s="524" t="s">
        <v>979</v>
      </c>
      <c r="B1210" s="526">
        <v>900</v>
      </c>
      <c r="C1210" s="524">
        <v>2000</v>
      </c>
      <c r="D1210" s="524">
        <v>6890</v>
      </c>
      <c r="E1210" s="525">
        <f>SUMIFS('Accounting data'!$G$2:$G$37000,'Accounting data'!$H$2:$H$37000,"11*",'Accounting data'!$I$2:$I$37000,"9*",'Accounting data'!$J$2:$J$37000,"2*",'Accounting data'!$K$2:$K$37000,"689*")+SUMIFS('Accounting data'!$G$2:$G$37000,'Accounting data'!$H$2:$H$37000,"12*",'Accounting data'!$I$2:$I$37000,"9*",'Accounting data'!$J$2:$J$37000,"2*",'Accounting data'!$K$2:$K$37000,"689*")+SUMIFS('Accounting data'!$G$2:$G$37000,'Accounting data'!$H$2:$H$37000,"13*",'Accounting data'!$I$2:$I$37000,"9*",'Accounting data'!$J$2:$J$37000,"2*",'Accounting data'!$K$2:$K$37000,"689*")</f>
        <v>0</v>
      </c>
    </row>
    <row r="1211" spans="1:5" x14ac:dyDescent="0.25">
      <c r="A1211" s="524" t="s">
        <v>979</v>
      </c>
      <c r="B1211" s="526">
        <v>700</v>
      </c>
      <c r="C1211" s="524">
        <v>3000</v>
      </c>
      <c r="D1211" s="524">
        <v>6890</v>
      </c>
      <c r="E1211" s="525">
        <f>SUMIFS('Accounting data'!$G$2:$G$37000,'Accounting data'!$H$2:$H$37000,"11*",'Accounting data'!$I$2:$I$37000,"7*",'Accounting data'!$J$2:$J$37000,"3*",'Accounting data'!$K$2:$K$37000,"689*")+SUMIFS('Accounting data'!$G$2:$G$37000,'Accounting data'!$H$2:$H$37000,"12*",'Accounting data'!$I$2:$I$37000,"7*",'Accounting data'!$J$2:$J$37000,"3*",'Accounting data'!$K$2:$K$37000,"689*")+SUMIFS('Accounting data'!$G$2:$G$37000,'Accounting data'!$H$2:$H$37000,"13*",'Accounting data'!$I$2:$I$37000,"7*",'Accounting data'!$J$2:$J$37000,"3*",'Accounting data'!$K$2:$K$37000,"689*")</f>
        <v>0</v>
      </c>
    </row>
    <row r="1212" spans="1:5" x14ac:dyDescent="0.25">
      <c r="A1212" s="524" t="s">
        <v>979</v>
      </c>
      <c r="B1212" s="526">
        <v>800</v>
      </c>
      <c r="C1212" s="524">
        <v>3000</v>
      </c>
      <c r="D1212" s="524">
        <v>6890</v>
      </c>
      <c r="E1212" s="525">
        <f>SUMIFS('Accounting data'!$G$2:$G$37000,'Accounting data'!$H$2:$H$37000,"11*",'Accounting data'!$I$2:$I$37000,"8*",'Accounting data'!$J$2:$J$37000,"3*",'Accounting data'!$K$2:$K$37000,"689*")+SUMIFS('Accounting data'!$G$2:$G$37000,'Accounting data'!$H$2:$H$37000,"12*",'Accounting data'!$I$2:$I$37000,"8*",'Accounting data'!$J$2:$J$37000,"3*",'Accounting data'!$K$2:$K$37000,"689*")+SUMIFS('Accounting data'!$G$2:$G$37000,'Accounting data'!$H$2:$H$37000,"13*",'Accounting data'!$I$2:$I$37000,"8*",'Accounting data'!$J$2:$J$37000,"3*",'Accounting data'!$K$2:$K$37000,"689*")</f>
        <v>0</v>
      </c>
    </row>
    <row r="1213" spans="1:5" x14ac:dyDescent="0.25">
      <c r="A1213" s="524" t="s">
        <v>979</v>
      </c>
      <c r="B1213" s="526">
        <v>900</v>
      </c>
      <c r="C1213" s="524">
        <v>3000</v>
      </c>
      <c r="D1213" s="524">
        <v>6890</v>
      </c>
      <c r="E1213" s="525">
        <f>SUMIFS('Accounting data'!$G$2:$G$37000,'Accounting data'!$H$2:$H$37000,"11*",'Accounting data'!$I$2:$I$37000,"9*",'Accounting data'!$J$2:$J$37000,"3*",'Accounting data'!$K$2:$K$37000,"689*")+SUMIFS('Accounting data'!$G$2:$G$37000,'Accounting data'!$H$2:$H$37000,"12*",'Accounting data'!$I$2:$I$37000,"9*",'Accounting data'!$J$2:$J$37000,"3*",'Accounting data'!$K$2:$K$37000,"689*")+SUMIFS('Accounting data'!$G$2:$G$37000,'Accounting data'!$H$2:$H$37000,"13*",'Accounting data'!$I$2:$I$37000,"9*",'Accounting data'!$J$2:$J$37000,"3*",'Accounting data'!$K$2:$K$37000,"689*")</f>
        <v>0</v>
      </c>
    </row>
    <row r="1214" spans="1:5" x14ac:dyDescent="0.25">
      <c r="A1214" s="527" t="s">
        <v>1059</v>
      </c>
      <c r="B1214" s="527"/>
      <c r="C1214" s="527"/>
      <c r="D1214" s="527"/>
      <c r="E1214" s="529">
        <f>(E1202+E1203+E1204)-(E1205+E1206+E1207+E1208+E1209+E1210+E1211+E1212+E1213)</f>
        <v>0</v>
      </c>
    </row>
    <row r="1215" spans="1:5" x14ac:dyDescent="0.25">
      <c r="A1215" s="524" t="s">
        <v>963</v>
      </c>
      <c r="B1215" s="524" t="s">
        <v>965</v>
      </c>
      <c r="C1215" s="524">
        <v>1000</v>
      </c>
      <c r="D1215" s="524">
        <v>6000</v>
      </c>
      <c r="E1215" s="525">
        <f>SUMIFS('Accounting data'!$G$2:$G$37000,'Accounting data'!$I$2:$I$37000,"7*",'Accounting data'!$J$2:$J$37000,"1*",'Accounting data'!$K$2:$K$37000,"6*")+SUMIFS('Accounting data'!$G$2:$G$37000,'Accounting data'!$I$2:$I$37000,"8*",'Accounting data'!$J$2:$J$37000,"1*",'Accounting data'!$K$2:$K$37000,"6*")+SUMIFS('Accounting data'!$G$2:$G$37000,'Accounting data'!$I$2:$I$37000,"9*",'Accounting data'!$J$2:$J$37000,"1*",'Accounting data'!$K$2:$K$37000,"6*")</f>
        <v>0</v>
      </c>
    </row>
    <row r="1216" spans="1:5" x14ac:dyDescent="0.25">
      <c r="A1216" s="524" t="s">
        <v>963</v>
      </c>
      <c r="B1216" s="524" t="s">
        <v>965</v>
      </c>
      <c r="C1216" s="524">
        <v>1000</v>
      </c>
      <c r="D1216" s="524">
        <v>6900</v>
      </c>
      <c r="E1216" s="525">
        <f>SUMIFS('Accounting data'!$G$2:$G$37000,'Accounting data'!$I$2:$I$37000,"7*",'Accounting data'!$J$2:$J$37000,"1*",'Accounting data'!$K$2:$K$37000,"69*")+SUMIFS('Accounting data'!$G$2:$G$37000,'Accounting data'!$I$2:$I$37000,"8*",'Accounting data'!$J$2:$J$37000,"1*",'Accounting data'!$K$2:$K$37000,"69*")+SUMIFS('Accounting data'!$G$2:$G$37000,'Accounting data'!$I$2:$I$37000,"9*",'Accounting data'!$J$2:$J$37000,"1*",'Accounting data'!$K$2:$K$37000,"69*")</f>
        <v>0</v>
      </c>
    </row>
    <row r="1217" spans="1:5" x14ac:dyDescent="0.25">
      <c r="A1217" s="524" t="s">
        <v>963</v>
      </c>
      <c r="B1217" s="524" t="s">
        <v>965</v>
      </c>
      <c r="C1217" s="524">
        <v>1000</v>
      </c>
      <c r="D1217" s="533">
        <v>6700</v>
      </c>
      <c r="E1217" s="525">
        <f>SUMIFS('Accounting data'!$G$2:$G$37000,'Accounting data'!$I$2:$I$37000,"7*",'Accounting data'!$J$2:$J$37000,"1*",'Accounting data'!$K$2:$K$37000,"67*")+SUMIFS('Accounting data'!$G$2:$G$37000,'Accounting data'!$I$2:$I$37000,"8*",'Accounting data'!$J$2:$J$37000,"1*",'Accounting data'!$K$2:$K$37000,"67*")+SUMIFS('Accounting data'!$G$2:$G$37000,'Accounting data'!$I$2:$I$37000,"9*",'Accounting data'!$J$2:$J$37000,"1*",'Accounting data'!$K$2:$K$37000,"67*")</f>
        <v>0</v>
      </c>
    </row>
    <row r="1218" spans="1:5" x14ac:dyDescent="0.25">
      <c r="A1218" s="526" t="s">
        <v>964</v>
      </c>
      <c r="B1218" s="524" t="s">
        <v>965</v>
      </c>
      <c r="C1218" s="524">
        <v>1000</v>
      </c>
      <c r="D1218" s="524">
        <v>6000</v>
      </c>
      <c r="E1218" s="525">
        <f>SUMIFS('Accounting data'!$G$2:$G$37000,'Accounting data'!$H$2:$H$37000,"9999*",'Accounting data'!$I$2:$I$37000,"7*",'Accounting data'!$J$2:$J$37000,"1*",'Accounting data'!$K$2:$K$37000,"6*")+SUMIFS('Accounting data'!$G$2:$G$37000,'Accounting data'!$H$2:$H$37000,"9999*",'Accounting data'!$I$2:$I$37000,"8*",'Accounting data'!$J$2:$J$37000,"1*",'Accounting data'!$K$2:$K$37000,"6*")+SUMIFS('Accounting data'!$G$2:$G$37000,'Accounting data'!$H$2:$H$37000,"9999*",'Accounting data'!$I$2:$I$37000,"9*",'Accounting data'!$J$2:$J$37000,"1*",'Accounting data'!$K$2:$K$37000,"6*")</f>
        <v>0</v>
      </c>
    </row>
    <row r="1219" spans="1:5" x14ac:dyDescent="0.25">
      <c r="A1219" s="524"/>
      <c r="B1219" s="524"/>
      <c r="C1219" s="524"/>
      <c r="D1219" s="524"/>
      <c r="E1219" s="525"/>
    </row>
    <row r="1220" spans="1:5" x14ac:dyDescent="0.25">
      <c r="A1220" s="526" t="s">
        <v>964</v>
      </c>
      <c r="B1220" s="524" t="s">
        <v>965</v>
      </c>
      <c r="C1220" s="524">
        <v>1000</v>
      </c>
      <c r="D1220" s="524">
        <v>6900</v>
      </c>
      <c r="E1220" s="525">
        <f>SUMIFS('Accounting data'!$G$2:$G$37000,'Accounting data'!$H$2:$H$37000,"9999*",'Accounting data'!$I$2:$I$37000,"7*",'Accounting data'!$J$2:$J$37000,"1*",'Accounting data'!$K$2:$K$37000,"69*")+SUMIFS('Accounting data'!$G$2:$G$37000,'Accounting data'!$H$2:$H$37000,"9999*",'Accounting data'!$I$2:$I$37000,"8*",'Accounting data'!$J$2:$J$37000,"1*",'Accounting data'!$K$2:$K$37000,"69*")+SUMIFS('Accounting data'!$G$2:$G$37000,'Accounting data'!$H$2:$H$37000,"9999*",'Accounting data'!$I$2:$I$37000,"9*",'Accounting data'!$J$2:$J$37000,"1*",'Accounting data'!$K$2:$K$37000,"69*")</f>
        <v>0</v>
      </c>
    </row>
    <row r="1221" spans="1:5" x14ac:dyDescent="0.25">
      <c r="A1221" s="524"/>
      <c r="B1221" s="524"/>
      <c r="C1221" s="524"/>
      <c r="D1221" s="524"/>
      <c r="E1221" s="525"/>
    </row>
    <row r="1222" spans="1:5" x14ac:dyDescent="0.25">
      <c r="A1222" s="526" t="s">
        <v>964</v>
      </c>
      <c r="B1222" s="524" t="s">
        <v>965</v>
      </c>
      <c r="C1222" s="524">
        <v>1000</v>
      </c>
      <c r="D1222" s="533">
        <v>6700</v>
      </c>
      <c r="E1222" s="525">
        <f>SUMIFS('Accounting data'!$G$2:$G$37000,'Accounting data'!$H$2:$H$37000,"9999*",'Accounting data'!$I$2:$I$37000,"7*",'Accounting data'!$J$2:$J$37000,"1*",'Accounting data'!$K$2:$K$37000,"67*")+SUMIFS('Accounting data'!$G$2:$G$37000,'Accounting data'!$H$2:$H$37000,"9999*",'Accounting data'!$I$2:$I$37000,"8*",'Accounting data'!$J$2:$J$37000,"1*",'Accounting data'!$K$2:$K$37000,"67*")+SUMIFS('Accounting data'!$G$2:$G$37000,'Accounting data'!$H$2:$H$37000,"9999*",'Accounting data'!$I$2:$I$37000,"9*",'Accounting data'!$J$2:$J$37000,"1*",'Accounting data'!$K$2:$K$37000,"67*")</f>
        <v>0</v>
      </c>
    </row>
    <row r="1223" spans="1:5" x14ac:dyDescent="0.25">
      <c r="A1223" s="526"/>
      <c r="B1223" s="524"/>
      <c r="C1223" s="524"/>
      <c r="D1223" s="533"/>
      <c r="E1223" s="525"/>
    </row>
    <row r="1224" spans="1:5" x14ac:dyDescent="0.25">
      <c r="A1224" s="526"/>
      <c r="B1224" s="524"/>
      <c r="C1224" s="524"/>
      <c r="D1224" s="533"/>
      <c r="E1224" s="525"/>
    </row>
    <row r="1225" spans="1:5" x14ac:dyDescent="0.25">
      <c r="A1225" s="527" t="s">
        <v>1060</v>
      </c>
      <c r="B1225" s="527"/>
      <c r="C1225" s="527"/>
      <c r="D1225" s="527"/>
      <c r="E1225" s="529">
        <f>(E1215-E1216-E1217)-((E1218+E1219)-(E1220+E1221))-(E1222+E1223+E1224)</f>
        <v>0</v>
      </c>
    </row>
    <row r="1226" spans="1:5" x14ac:dyDescent="0.25">
      <c r="A1226" s="524" t="s">
        <v>963</v>
      </c>
      <c r="B1226" s="524" t="s">
        <v>965</v>
      </c>
      <c r="C1226" s="524">
        <v>2100</v>
      </c>
      <c r="D1226" s="524">
        <v>6000</v>
      </c>
      <c r="E1226" s="525">
        <f>SUMIFS('Accounting data'!$G$2:$G$37000,'Accounting data'!$I$2:$I$37000,"7*",'Accounting data'!$J$2:$J$37000,"21*",'Accounting data'!$K$2:$K$37000,"6*")+SUMIFS('Accounting data'!$G$2:$G$37000,'Accounting data'!$I$2:$I$37000,"8*",'Accounting data'!$J$2:$J$37000,"21*",'Accounting data'!$K$2:$K$37000,"6*")+SUMIFS('Accounting data'!$G$2:$G$37000,'Accounting data'!$I$2:$I$37000,"9*",'Accounting data'!$J$2:$J$37000,"21*",'Accounting data'!$K$2:$K$37000,"6*")</f>
        <v>0</v>
      </c>
    </row>
    <row r="1227" spans="1:5" x14ac:dyDescent="0.25">
      <c r="A1227" s="524" t="s">
        <v>963</v>
      </c>
      <c r="B1227" s="524" t="s">
        <v>965</v>
      </c>
      <c r="C1227" s="524">
        <v>2100</v>
      </c>
      <c r="D1227" s="524">
        <v>6900</v>
      </c>
      <c r="E1227" s="525">
        <f>SUMIFS('Accounting data'!$G$2:$G$37000,'Accounting data'!$I$2:$I$37000,"7*",'Accounting data'!$J$2:$J$37000,"21*",'Accounting data'!$K$2:$K$37000,"69*")+SUMIFS('Accounting data'!$G$2:$G$37000,'Accounting data'!$I$2:$I$37000,"8*",'Accounting data'!$J$2:$J$37000,"21*",'Accounting data'!$K$2:$K$37000,"69*")+SUMIFS('Accounting data'!$G$2:$G$37000,'Accounting data'!$I$2:$I$37000,"9*",'Accounting data'!$J$2:$J$37000,"21*",'Accounting data'!$K$2:$K$37000,"69*")</f>
        <v>0</v>
      </c>
    </row>
    <row r="1228" spans="1:5" x14ac:dyDescent="0.25">
      <c r="A1228" s="524" t="s">
        <v>963</v>
      </c>
      <c r="B1228" s="524" t="s">
        <v>965</v>
      </c>
      <c r="C1228" s="524">
        <v>2100</v>
      </c>
      <c r="D1228" s="533">
        <v>6700</v>
      </c>
      <c r="E1228" s="525">
        <f>SUMIFS('Accounting data'!$G$2:$G$37000,'Accounting data'!$I$2:$I$37000,"7*",'Accounting data'!$J$2:$J$37000,"21*",'Accounting data'!$K$2:$K$37000,"67*")+SUMIFS('Accounting data'!$G$2:$G$37000,'Accounting data'!$I$2:$I$37000,"8*",'Accounting data'!$J$2:$J$37000,"21*",'Accounting data'!$K$2:$K$37000,"67*")+SUMIFS('Accounting data'!$G$2:$G$37000,'Accounting data'!$I$2:$I$37000,"9*",'Accounting data'!$J$2:$J$37000,"21*",'Accounting data'!$K$2:$K$37000,"67*")</f>
        <v>0</v>
      </c>
    </row>
    <row r="1229" spans="1:5" x14ac:dyDescent="0.25">
      <c r="A1229" s="526" t="s">
        <v>964</v>
      </c>
      <c r="B1229" s="524" t="s">
        <v>965</v>
      </c>
      <c r="C1229" s="524">
        <v>2100</v>
      </c>
      <c r="D1229" s="524">
        <v>6000</v>
      </c>
      <c r="E1229" s="525">
        <f>SUMIFS('Accounting data'!$G$2:$G$37000,'Accounting data'!$H$2:$H$37000,"9999*",'Accounting data'!$I$2:$I$37000,"7*",'Accounting data'!$J$2:$J$37000,"21*",'Accounting data'!$K$2:$K$37000,"6*")+SUMIFS('Accounting data'!$G$2:$G$37000,'Accounting data'!$H$2:$H$37000,"9999*",'Accounting data'!$I$2:$I$37000,"8*",'Accounting data'!$J$2:$J$37000,"21*",'Accounting data'!$K$2:$K$37000,"6*")+SUMIFS('Accounting data'!$G$2:$G$37000,'Accounting data'!$H$2:$H$37000,"9999*",'Accounting data'!$I$2:$I$37000,"9*",'Accounting data'!$J$2:$J$37000,"21*",'Accounting data'!$K$2:$K$37000,"6*")</f>
        <v>0</v>
      </c>
    </row>
    <row r="1230" spans="1:5" x14ac:dyDescent="0.25">
      <c r="A1230" s="524"/>
      <c r="B1230" s="524"/>
      <c r="C1230" s="524"/>
      <c r="D1230" s="524"/>
      <c r="E1230" s="525"/>
    </row>
    <row r="1231" spans="1:5" x14ac:dyDescent="0.25">
      <c r="A1231" s="526" t="s">
        <v>964</v>
      </c>
      <c r="B1231" s="524" t="s">
        <v>965</v>
      </c>
      <c r="C1231" s="524">
        <v>2100</v>
      </c>
      <c r="D1231" s="524">
        <v>6900</v>
      </c>
      <c r="E1231" s="525">
        <f>SUMIFS('Accounting data'!$G$2:$G$37000,'Accounting data'!$H$2:$H$37000,"9999*",'Accounting data'!$I$2:$I$37000,"7*",'Accounting data'!$J$2:$J$37000,"21*",'Accounting data'!$K$2:$K$37000,"69*")+SUMIFS('Accounting data'!$G$2:$G$37000,'Accounting data'!$H$2:$H$37000,"9999*",'Accounting data'!$I$2:$I$37000,"8*",'Accounting data'!$J$2:$J$37000,"21*",'Accounting data'!$K$2:$K$37000,"69*")+SUMIFS('Accounting data'!$G$2:$G$37000,'Accounting data'!$H$2:$H$37000,"9999*",'Accounting data'!$I$2:$I$37000,"9*",'Accounting data'!$J$2:$J$37000,"21*",'Accounting data'!$K$2:$K$37000,"69*")</f>
        <v>0</v>
      </c>
    </row>
    <row r="1233" spans="1:5" x14ac:dyDescent="0.25">
      <c r="A1233" s="526" t="s">
        <v>964</v>
      </c>
      <c r="B1233" s="524" t="s">
        <v>965</v>
      </c>
      <c r="C1233" s="524">
        <v>2100</v>
      </c>
      <c r="D1233" s="533">
        <v>6700</v>
      </c>
      <c r="E1233" s="525">
        <f>SUMIFS('Accounting data'!$G$2:$G$37000,'Accounting data'!$H$2:$H$37000,"9999*",'Accounting data'!$I$2:$I$37000,"7*",'Accounting data'!$J$2:$J$37000,"21*",'Accounting data'!$K$2:$K$37000,"67*")+SUMIFS('Accounting data'!$G$2:$G$37000,'Accounting data'!$H$2:$H$37000,"9999*",'Accounting data'!$I$2:$I$37000,"8*",'Accounting data'!$J$2:$J$37000,"21*",'Accounting data'!$K$2:$K$37000,"67*")+SUMIFS('Accounting data'!$G$2:$G$37000,'Accounting data'!$H$2:$H$37000,"9999*",'Accounting data'!$I$2:$I$37000,"9*",'Accounting data'!$J$2:$J$37000,"21*",'Accounting data'!$K$2:$K$37000,"67*")</f>
        <v>0</v>
      </c>
    </row>
    <row r="1234" spans="1:5" x14ac:dyDescent="0.25">
      <c r="A1234" s="526"/>
      <c r="B1234" s="524"/>
      <c r="C1234" s="524"/>
      <c r="D1234" s="533"/>
      <c r="E1234" s="525"/>
    </row>
    <row r="1235" spans="1:5" x14ac:dyDescent="0.25">
      <c r="A1235" s="526"/>
      <c r="B1235" s="524"/>
      <c r="C1235" s="524"/>
      <c r="D1235" s="533"/>
      <c r="E1235" s="525"/>
    </row>
    <row r="1236" spans="1:5" x14ac:dyDescent="0.25">
      <c r="A1236" s="527" t="s">
        <v>1061</v>
      </c>
      <c r="B1236" s="527"/>
      <c r="C1236" s="527"/>
      <c r="D1236" s="527"/>
      <c r="E1236" s="529">
        <f>(E1226-E1227-E1228)-((E1229+E1230)-(E1231+E1232))-(E1233+E1234+E1235)</f>
        <v>0</v>
      </c>
    </row>
    <row r="1237" spans="1:5" x14ac:dyDescent="0.25">
      <c r="A1237" s="524" t="s">
        <v>963</v>
      </c>
      <c r="B1237" s="524" t="s">
        <v>965</v>
      </c>
      <c r="C1237" s="524">
        <v>2200</v>
      </c>
      <c r="D1237" s="524">
        <v>6000</v>
      </c>
      <c r="E1237" s="525">
        <f>SUMIFS('Accounting data'!$G$2:$G$37000,'Accounting data'!$I$2:$I$37000,"7*",'Accounting data'!$J$2:$J$37000,"22*",'Accounting data'!$K$2:$K$37000,"6*")+SUMIFS('Accounting data'!$G$2:$G$37000,'Accounting data'!$I$2:$I$37000,"8*",'Accounting data'!$J$2:$J$37000,"22*",'Accounting data'!$K$2:$K$37000,"6*")+SUMIFS('Accounting data'!$G$2:$G$37000,'Accounting data'!$I$2:$I$37000,"9*",'Accounting data'!$J$2:$J$37000,"22*",'Accounting data'!$K$2:$K$37000,"6*")</f>
        <v>0</v>
      </c>
    </row>
    <row r="1238" spans="1:5" x14ac:dyDescent="0.25">
      <c r="A1238" s="524" t="s">
        <v>963</v>
      </c>
      <c r="B1238" s="524" t="s">
        <v>965</v>
      </c>
      <c r="C1238" s="524">
        <v>2200</v>
      </c>
      <c r="D1238" s="524">
        <v>6900</v>
      </c>
      <c r="E1238" s="525">
        <f>SUMIFS('Accounting data'!$G$2:$G$37000,'Accounting data'!$I$2:$I$37000,"7*",'Accounting data'!$J$2:$J$37000,"22*",'Accounting data'!$K$2:$K$37000,"69*")+SUMIFS('Accounting data'!$G$2:$G$37000,'Accounting data'!$I$2:$I$37000,"8*",'Accounting data'!$J$2:$J$37000,"22*",'Accounting data'!$K$2:$K$37000,"69*")+SUMIFS('Accounting data'!$G$2:$G$37000,'Accounting data'!$I$2:$I$37000,"9*",'Accounting data'!$J$2:$J$37000,"22*",'Accounting data'!$K$2:$K$37000,"69*")</f>
        <v>0</v>
      </c>
    </row>
    <row r="1239" spans="1:5" x14ac:dyDescent="0.25">
      <c r="A1239" s="524" t="s">
        <v>963</v>
      </c>
      <c r="B1239" s="524" t="s">
        <v>965</v>
      </c>
      <c r="C1239" s="524">
        <v>2200</v>
      </c>
      <c r="D1239" s="533">
        <v>6700</v>
      </c>
      <c r="E1239" s="525">
        <f>SUMIFS('Accounting data'!$G$2:$G$37000,'Accounting data'!$I$2:$I$37000,"7*",'Accounting data'!$J$2:$J$37000,"22*",'Accounting data'!$K$2:$K$37000,"67*")+SUMIFS('Accounting data'!$G$2:$G$37000,'Accounting data'!$I$2:$I$37000,"8*",'Accounting data'!$J$2:$J$37000,"22*",'Accounting data'!$K$2:$K$37000,"67*")+SUMIFS('Accounting data'!$G$2:$G$37000,'Accounting data'!$I$2:$I$37000,"9*",'Accounting data'!$J$2:$J$37000,"22*",'Accounting data'!$K$2:$K$37000,"67*")</f>
        <v>0</v>
      </c>
    </row>
    <row r="1240" spans="1:5" x14ac:dyDescent="0.25">
      <c r="A1240" s="526" t="s">
        <v>964</v>
      </c>
      <c r="B1240" s="524" t="s">
        <v>965</v>
      </c>
      <c r="C1240" s="524">
        <v>2200</v>
      </c>
      <c r="D1240" s="524">
        <v>6000</v>
      </c>
      <c r="E1240" s="525">
        <f>SUMIFS('Accounting data'!$G$2:$G$37000,'Accounting data'!$H$2:$H$37000,"9999*",'Accounting data'!$I$2:$I$37000,"7*",'Accounting data'!$J$2:$J$37000,"22*",'Accounting data'!$K$2:$K$37000,"6*")+SUMIFS('Accounting data'!$G$2:$G$37000,'Accounting data'!$H$2:$H$37000,"9999*",'Accounting data'!$I$2:$I$37000,"8*",'Accounting data'!$J$2:$J$37000,"22*",'Accounting data'!$K$2:$K$37000,"6*")+SUMIFS('Accounting data'!$G$2:$G$37000,'Accounting data'!$H$2:$H$37000,"9999*",'Accounting data'!$I$2:$I$37000,"9*",'Accounting data'!$J$2:$J$37000,"22*",'Accounting data'!$K$2:$K$37000,"6*")</f>
        <v>0</v>
      </c>
    </row>
    <row r="1241" spans="1:5" x14ac:dyDescent="0.25">
      <c r="A1241" s="524"/>
      <c r="B1241" s="524"/>
      <c r="C1241" s="524"/>
      <c r="D1241" s="524"/>
      <c r="E1241" s="525"/>
    </row>
    <row r="1242" spans="1:5" x14ac:dyDescent="0.25">
      <c r="A1242" s="526" t="s">
        <v>964</v>
      </c>
      <c r="B1242" s="524" t="s">
        <v>965</v>
      </c>
      <c r="C1242" s="524">
        <v>2200</v>
      </c>
      <c r="D1242" s="524">
        <v>6900</v>
      </c>
      <c r="E1242" s="525">
        <f>SUMIFS('Accounting data'!$G$2:$G$37000,'Accounting data'!$H$2:$H$37000,"9999*",'Accounting data'!$I$2:$I$37000,"7*",'Accounting data'!$J$2:$J$37000,"22*",'Accounting data'!$K$2:$K$37000,"69*")+SUMIFS('Accounting data'!$G$2:$G$37000,'Accounting data'!$H$2:$H$37000,"9999*",'Accounting data'!$I$2:$I$37000,"8*",'Accounting data'!$J$2:$J$37000,"22*",'Accounting data'!$K$2:$K$37000,"69*")+SUMIFS('Accounting data'!$G$2:$G$37000,'Accounting data'!$H$2:$H$37000,"9999*",'Accounting data'!$I$2:$I$37000,"9*",'Accounting data'!$J$2:$J$37000,"22*",'Accounting data'!$K$2:$K$37000,"69*")</f>
        <v>0</v>
      </c>
    </row>
    <row r="1243" spans="1:5" x14ac:dyDescent="0.25">
      <c r="A1243" s="524"/>
      <c r="B1243" s="524"/>
      <c r="C1243" s="524"/>
      <c r="D1243" s="524"/>
      <c r="E1243" s="525"/>
    </row>
    <row r="1244" spans="1:5" x14ac:dyDescent="0.25">
      <c r="A1244" s="526" t="s">
        <v>964</v>
      </c>
      <c r="B1244" s="524" t="s">
        <v>965</v>
      </c>
      <c r="C1244" s="524">
        <v>2200</v>
      </c>
      <c r="D1244" s="533">
        <v>6700</v>
      </c>
      <c r="E1244" s="525">
        <f>SUMIFS('Accounting data'!$G$2:$G$37000,'Accounting data'!$H$2:$H$37000,"9999*",'Accounting data'!$I$2:$I$37000,"7*",'Accounting data'!$J$2:$J$37000,"22*",'Accounting data'!$K$2:$K$37000,"67*")+SUMIFS('Accounting data'!$G$2:$G$37000,'Accounting data'!$H$2:$H$37000,"9999*",'Accounting data'!$I$2:$I$37000,"8*",'Accounting data'!$J$2:$J$37000,"22*",'Accounting data'!$K$2:$K$37000,"67*")+SUMIFS('Accounting data'!$G$2:$G$37000,'Accounting data'!$H$2:$H$37000,"9999*",'Accounting data'!$I$2:$I$37000,"9*",'Accounting data'!$J$2:$J$37000,"22*",'Accounting data'!$K$2:$K$37000,"67*")</f>
        <v>0</v>
      </c>
    </row>
    <row r="1245" spans="1:5" x14ac:dyDescent="0.25">
      <c r="A1245" s="526"/>
      <c r="B1245" s="524"/>
      <c r="C1245" s="524"/>
      <c r="D1245" s="533"/>
      <c r="E1245" s="525"/>
    </row>
    <row r="1246" spans="1:5" x14ac:dyDescent="0.25">
      <c r="A1246" s="526"/>
      <c r="B1246" s="524"/>
      <c r="C1246" s="524"/>
      <c r="D1246" s="533"/>
      <c r="E1246" s="525"/>
    </row>
    <row r="1247" spans="1:5" x14ac:dyDescent="0.25">
      <c r="A1247" s="527" t="s">
        <v>1062</v>
      </c>
      <c r="B1247" s="527"/>
      <c r="C1247" s="527"/>
      <c r="D1247" s="527"/>
      <c r="E1247" s="529">
        <f>(E1237-E1238-E1239)-((E1240+E1241)-(E1242+E1243))-(E1244+E1245+E1246)</f>
        <v>0</v>
      </c>
    </row>
    <row r="1248" spans="1:5" x14ac:dyDescent="0.25">
      <c r="A1248" s="524" t="s">
        <v>963</v>
      </c>
      <c r="B1248" s="524" t="s">
        <v>965</v>
      </c>
      <c r="C1248" s="524">
        <v>2300</v>
      </c>
      <c r="D1248" s="524">
        <v>6000</v>
      </c>
      <c r="E1248" s="525">
        <f>SUMIFS('Accounting data'!$G$2:$G$37000,'Accounting data'!$I$2:$I$37000,"7*",'Accounting data'!$J$2:$J$37000,"23*",'Accounting data'!$K$2:$K$37000,"6*")+SUMIFS('Accounting data'!$G$2:$G$37000,'Accounting data'!$I$2:$I$37000,"8*",'Accounting data'!$J$2:$J$37000,"23*",'Accounting data'!$K$2:$K$37000,"6*")+SUMIFS('Accounting data'!$G$2:$G$37000,'Accounting data'!$I$2:$I$37000,"9*",'Accounting data'!$J$2:$J$37000,"23*",'Accounting data'!$K$2:$K$37000,"6*")</f>
        <v>0</v>
      </c>
    </row>
    <row r="1249" spans="1:5" x14ac:dyDescent="0.25">
      <c r="A1249" s="524" t="s">
        <v>963</v>
      </c>
      <c r="B1249" s="524" t="s">
        <v>965</v>
      </c>
      <c r="C1249" s="524">
        <v>2300</v>
      </c>
      <c r="D1249" s="524">
        <v>6900</v>
      </c>
      <c r="E1249" s="525">
        <f>SUMIFS('Accounting data'!$G$2:$G$37000,'Accounting data'!$I$2:$I$37000,"7*",'Accounting data'!$J$2:$J$37000,"23*",'Accounting data'!$K$2:$K$37000,"69*")+SUMIFS('Accounting data'!$G$2:$G$37000,'Accounting data'!$I$2:$I$37000,"8*",'Accounting data'!$J$2:$J$37000,"23*",'Accounting data'!$K$2:$K$37000,"69*")+SUMIFS('Accounting data'!$G$2:$G$37000,'Accounting data'!$I$2:$I$37000,"9*",'Accounting data'!$J$2:$J$37000,"23*",'Accounting data'!$K$2:$K$37000,"69*")</f>
        <v>0</v>
      </c>
    </row>
    <row r="1250" spans="1:5" x14ac:dyDescent="0.25">
      <c r="A1250" s="524" t="s">
        <v>963</v>
      </c>
      <c r="B1250" s="524" t="s">
        <v>965</v>
      </c>
      <c r="C1250" s="524">
        <v>2300</v>
      </c>
      <c r="D1250" s="533">
        <v>6700</v>
      </c>
      <c r="E1250" s="525">
        <f>SUMIFS('Accounting data'!$G$2:$G$37000,'Accounting data'!$I$2:$I$37000,"7*",'Accounting data'!$J$2:$J$37000,"23*",'Accounting data'!$K$2:$K$37000,"67*")+SUMIFS('Accounting data'!$G$2:$G$37000,'Accounting data'!$I$2:$I$37000,"8*",'Accounting data'!$J$2:$J$37000,"23*",'Accounting data'!$K$2:$K$37000,"67*")+SUMIFS('Accounting data'!$G$2:$G$37000,'Accounting data'!$I$2:$I$37000,"9*",'Accounting data'!$J$2:$J$37000,"23*",'Accounting data'!$K$2:$K$37000,"67*")</f>
        <v>0</v>
      </c>
    </row>
    <row r="1251" spans="1:5" x14ac:dyDescent="0.25">
      <c r="A1251" s="526" t="s">
        <v>964</v>
      </c>
      <c r="B1251" s="524" t="s">
        <v>965</v>
      </c>
      <c r="C1251" s="524">
        <v>2300</v>
      </c>
      <c r="D1251" s="524">
        <v>6000</v>
      </c>
      <c r="E1251" s="525">
        <f>SUMIFS('Accounting data'!$G$2:$G$37000,'Accounting data'!$H$2:$H$37000,"9999*",'Accounting data'!$I$2:$I$37000,"7*",'Accounting data'!$J$2:$J$37000,"23*",'Accounting data'!$K$2:$K$37000,"6*")+SUMIFS('Accounting data'!$G$2:$G$37000,'Accounting data'!$H$2:$H$37000,"9999*",'Accounting data'!$I$2:$I$37000,"8*",'Accounting data'!$J$2:$J$37000,"23*",'Accounting data'!$K$2:$K$37000,"6*")+SUMIFS('Accounting data'!$G$2:$G$37000,'Accounting data'!$H$2:$H$37000,"9999*",'Accounting data'!$I$2:$I$37000,"9*",'Accounting data'!$J$2:$J$37000,"23*",'Accounting data'!$K$2:$K$37000,"6*")</f>
        <v>0</v>
      </c>
    </row>
    <row r="1252" spans="1:5" x14ac:dyDescent="0.25">
      <c r="A1252" s="524"/>
      <c r="B1252" s="524"/>
      <c r="C1252" s="524"/>
      <c r="D1252" s="524"/>
      <c r="E1252" s="525"/>
    </row>
    <row r="1253" spans="1:5" x14ac:dyDescent="0.25">
      <c r="A1253" s="526" t="s">
        <v>964</v>
      </c>
      <c r="B1253" s="524" t="s">
        <v>965</v>
      </c>
      <c r="C1253" s="524">
        <v>2300</v>
      </c>
      <c r="D1253" s="524">
        <v>6900</v>
      </c>
      <c r="E1253" s="525">
        <f>SUMIFS('Accounting data'!$G$2:$G$37000,'Accounting data'!$H$2:$H$37000,"9999*",'Accounting data'!$I$2:$I$37000,"7*",'Accounting data'!$J$2:$J$37000,"23*",'Accounting data'!$K$2:$K$37000,"69*")+SUMIFS('Accounting data'!$G$2:$G$37000,'Accounting data'!$H$2:$H$37000,"9999*",'Accounting data'!$I$2:$I$37000,"8*",'Accounting data'!$J$2:$J$37000,"23*",'Accounting data'!$K$2:$K$37000,"69*")+SUMIFS('Accounting data'!$G$2:$G$37000,'Accounting data'!$H$2:$H$37000,"9999*",'Accounting data'!$I$2:$I$37000,"9*",'Accounting data'!$J$2:$J$37000,"23*",'Accounting data'!$K$2:$K$37000,"69*")</f>
        <v>0</v>
      </c>
    </row>
    <row r="1254" spans="1:5" x14ac:dyDescent="0.25">
      <c r="A1254" s="524"/>
      <c r="B1254" s="524"/>
      <c r="C1254" s="524"/>
      <c r="D1254" s="524"/>
      <c r="E1254" s="525"/>
    </row>
    <row r="1255" spans="1:5" x14ac:dyDescent="0.25">
      <c r="A1255" s="526" t="s">
        <v>964</v>
      </c>
      <c r="B1255" s="524" t="s">
        <v>965</v>
      </c>
      <c r="C1255" s="524">
        <v>2300</v>
      </c>
      <c r="D1255" s="533">
        <v>6700</v>
      </c>
      <c r="E1255" s="525">
        <f>SUMIFS('Accounting data'!$G$2:$G$37000,'Accounting data'!$H$2:$H$37000,"9999*",'Accounting data'!$I$2:$I$37000,"7*",'Accounting data'!$J$2:$J$37000,"23*",'Accounting data'!$K$2:$K$37000,"67*")+SUMIFS('Accounting data'!$G$2:$G$37000,'Accounting data'!$H$2:$H$37000,"9999*",'Accounting data'!$I$2:$I$37000,"8*",'Accounting data'!$J$2:$J$37000,"23*",'Accounting data'!$K$2:$K$37000,"67*")+SUMIFS('Accounting data'!$G$2:$G$37000,'Accounting data'!$H$2:$H$37000,"9999*",'Accounting data'!$I$2:$I$37000,"9*",'Accounting data'!$J$2:$J$37000,"23*",'Accounting data'!$K$2:$K$37000,"67*")</f>
        <v>0</v>
      </c>
    </row>
    <row r="1256" spans="1:5" x14ac:dyDescent="0.25">
      <c r="A1256" s="526"/>
      <c r="B1256" s="524"/>
      <c r="C1256" s="524"/>
      <c r="D1256" s="533"/>
      <c r="E1256" s="525"/>
    </row>
    <row r="1257" spans="1:5" x14ac:dyDescent="0.25">
      <c r="A1257" s="526"/>
      <c r="B1257" s="524"/>
      <c r="C1257" s="524"/>
      <c r="D1257" s="533"/>
      <c r="E1257" s="525"/>
    </row>
    <row r="1258" spans="1:5" x14ac:dyDescent="0.25">
      <c r="A1258" s="527" t="s">
        <v>1063</v>
      </c>
      <c r="B1258" s="527"/>
      <c r="C1258" s="527"/>
      <c r="D1258" s="527"/>
      <c r="E1258" s="529">
        <f>(E1248-E1249-E1250)-((E1251+E1252)-(E1253+E1254))-(E1255+E1256+E1257)</f>
        <v>0</v>
      </c>
    </row>
    <row r="1259" spans="1:5" x14ac:dyDescent="0.25">
      <c r="A1259" s="524" t="s">
        <v>963</v>
      </c>
      <c r="B1259" s="524" t="s">
        <v>965</v>
      </c>
      <c r="C1259" s="524">
        <v>2400</v>
      </c>
      <c r="D1259" s="524">
        <v>6000</v>
      </c>
      <c r="E1259" s="525">
        <f>SUMIFS('Accounting data'!$G$2:$G$37000,'Accounting data'!$I$2:$I$37000,"7*",'Accounting data'!$J$2:$J$37000,"24*",'Accounting data'!$K$2:$K$37000,"6*")+SUMIFS('Accounting data'!$G$2:$G$37000,'Accounting data'!$I$2:$I$37000,"8*",'Accounting data'!$J$2:$J$37000,"24*",'Accounting data'!$K$2:$K$37000,"6*")+SUMIFS('Accounting data'!$G$2:$G$37000,'Accounting data'!$I$2:$I$37000,"9*",'Accounting data'!$J$2:$J$37000,"24*",'Accounting data'!$K$2:$K$37000,"6*")</f>
        <v>0</v>
      </c>
    </row>
    <row r="1260" spans="1:5" x14ac:dyDescent="0.25">
      <c r="A1260" s="524" t="s">
        <v>963</v>
      </c>
      <c r="B1260" s="524" t="s">
        <v>965</v>
      </c>
      <c r="C1260" s="524">
        <v>2400</v>
      </c>
      <c r="D1260" s="524">
        <v>6900</v>
      </c>
      <c r="E1260" s="525">
        <f>SUMIFS('Accounting data'!$G$2:$G$37000,'Accounting data'!$I$2:$I$37000,"7*",'Accounting data'!$J$2:$J$37000,"24*",'Accounting data'!$K$2:$K$37000,"69*")+SUMIFS('Accounting data'!$G$2:$G$37000,'Accounting data'!$I$2:$I$37000,"8*",'Accounting data'!$J$2:$J$37000,"24*",'Accounting data'!$K$2:$K$37000,"69*")+SUMIFS('Accounting data'!$G$2:$G$37000,'Accounting data'!$I$2:$I$37000,"9*",'Accounting data'!$J$2:$J$37000,"24*",'Accounting data'!$K$2:$K$37000,"69*")</f>
        <v>0</v>
      </c>
    </row>
    <row r="1261" spans="1:5" x14ac:dyDescent="0.25">
      <c r="A1261" s="524" t="s">
        <v>963</v>
      </c>
      <c r="B1261" s="524" t="s">
        <v>965</v>
      </c>
      <c r="C1261" s="524">
        <v>2400</v>
      </c>
      <c r="D1261" s="533">
        <v>6700</v>
      </c>
      <c r="E1261" s="525">
        <f>SUMIFS('Accounting data'!$G$2:$G$37000,'Accounting data'!$I$2:$I$37000,"7*",'Accounting data'!$J$2:$J$37000,"24*",'Accounting data'!$K$2:$K$37000,"67*")+SUMIFS('Accounting data'!$G$2:$G$37000,'Accounting data'!$I$2:$I$37000,"8*",'Accounting data'!$J$2:$J$37000,"24*",'Accounting data'!$K$2:$K$37000,"67*")+SUMIFS('Accounting data'!$G$2:$G$37000,'Accounting data'!$I$2:$I$37000,"9*",'Accounting data'!$J$2:$J$37000,"24*",'Accounting data'!$K$2:$K$37000,"67*")</f>
        <v>0</v>
      </c>
    </row>
    <row r="1262" spans="1:5" x14ac:dyDescent="0.25">
      <c r="A1262" s="526" t="s">
        <v>964</v>
      </c>
      <c r="B1262" s="524" t="s">
        <v>965</v>
      </c>
      <c r="C1262" s="524">
        <v>2400</v>
      </c>
      <c r="D1262" s="524">
        <v>6000</v>
      </c>
      <c r="E1262" s="525">
        <f>SUMIFS('Accounting data'!$G$2:$G$37000,'Accounting data'!$H$2:$H$37000,"9999*",'Accounting data'!$I$2:$I$37000,"7*",'Accounting data'!$J$2:$J$37000,"24*",'Accounting data'!$K$2:$K$37000,"6*")+SUMIFS('Accounting data'!$G$2:$G$37000,'Accounting data'!$H$2:$H$37000,"9999*",'Accounting data'!$I$2:$I$37000,"8*",'Accounting data'!$J$2:$J$37000,"24*",'Accounting data'!$K$2:$K$37000,"6*")+SUMIFS('Accounting data'!$G$2:$G$37000,'Accounting data'!$H$2:$H$37000,"9999*",'Accounting data'!$I$2:$I$37000,"9*",'Accounting data'!$J$2:$J$37000,"24*",'Accounting data'!$K$2:$K$37000,"6*")</f>
        <v>0</v>
      </c>
    </row>
    <row r="1263" spans="1:5" x14ac:dyDescent="0.25">
      <c r="A1263" s="524"/>
      <c r="B1263" s="524"/>
      <c r="C1263" s="524"/>
      <c r="D1263" s="524"/>
      <c r="E1263" s="525"/>
    </row>
    <row r="1264" spans="1:5" x14ac:dyDescent="0.25">
      <c r="A1264" s="526" t="s">
        <v>964</v>
      </c>
      <c r="B1264" s="524" t="s">
        <v>965</v>
      </c>
      <c r="C1264" s="524">
        <v>2400</v>
      </c>
      <c r="D1264" s="524">
        <v>6900</v>
      </c>
      <c r="E1264" s="525">
        <f>SUMIFS('Accounting data'!$G$2:$G$37000,'Accounting data'!$H$2:$H$37000,"9999*",'Accounting data'!$I$2:$I$37000,"7*",'Accounting data'!$J$2:$J$37000,"24*",'Accounting data'!$K$2:$K$37000,"69*")+SUMIFS('Accounting data'!$G$2:$G$37000,'Accounting data'!$H$2:$H$37000,"9999*",'Accounting data'!$I$2:$I$37000,"8*",'Accounting data'!$J$2:$J$37000,"24*",'Accounting data'!$K$2:$K$37000,"69*")+SUMIFS('Accounting data'!$G$2:$G$37000,'Accounting data'!$H$2:$H$37000,"9999*",'Accounting data'!$I$2:$I$37000,"9*",'Accounting data'!$J$2:$J$37000,"24*",'Accounting data'!$K$2:$K$37000,"69*")</f>
        <v>0</v>
      </c>
    </row>
    <row r="1266" spans="1:5" x14ac:dyDescent="0.25">
      <c r="A1266" s="526" t="s">
        <v>964</v>
      </c>
      <c r="B1266" s="524" t="s">
        <v>965</v>
      </c>
      <c r="C1266" s="524">
        <v>2400</v>
      </c>
      <c r="D1266" s="533">
        <v>6700</v>
      </c>
      <c r="E1266" s="525">
        <f>SUMIFS('Accounting data'!$G$2:$G$37000,'Accounting data'!$H$2:$H$37000,"9999*",'Accounting data'!$I$2:$I$37000,"7*",'Accounting data'!$J$2:$J$37000,"24*",'Accounting data'!$K$2:$K$37000,"67*")+SUMIFS('Accounting data'!$G$2:$G$37000,'Accounting data'!$H$2:$H$37000,"9999*",'Accounting data'!$I$2:$I$37000,"8*",'Accounting data'!$J$2:$J$37000,"24*",'Accounting data'!$K$2:$K$37000,"67*")+SUMIFS('Accounting data'!$G$2:$G$37000,'Accounting data'!$H$2:$H$37000,"9999*",'Accounting data'!$I$2:$I$37000,"9*",'Accounting data'!$J$2:$J$37000,"24*",'Accounting data'!$K$2:$K$37000,"67*")</f>
        <v>0</v>
      </c>
    </row>
    <row r="1267" spans="1:5" x14ac:dyDescent="0.25">
      <c r="A1267" s="526"/>
      <c r="B1267" s="524"/>
      <c r="C1267" s="524"/>
      <c r="D1267" s="533"/>
      <c r="E1267" s="525"/>
    </row>
    <row r="1268" spans="1:5" x14ac:dyDescent="0.25">
      <c r="A1268" s="526"/>
      <c r="B1268" s="524"/>
      <c r="C1268" s="524"/>
      <c r="D1268" s="533"/>
      <c r="E1268" s="525"/>
    </row>
    <row r="1269" spans="1:5" x14ac:dyDescent="0.25">
      <c r="A1269" s="527" t="s">
        <v>1064</v>
      </c>
      <c r="B1269" s="527"/>
      <c r="C1269" s="527"/>
      <c r="D1269" s="527"/>
      <c r="E1269" s="529">
        <f>(E1259-E1260-E1261)-((E1262+E1263)-(E1264+E1265))-(E1266+E1267+E1268)</f>
        <v>0</v>
      </c>
    </row>
    <row r="1270" spans="1:5" x14ac:dyDescent="0.25">
      <c r="A1270" s="524" t="s">
        <v>963</v>
      </c>
      <c r="B1270" s="524" t="s">
        <v>965</v>
      </c>
      <c r="C1270" s="524">
        <v>2500</v>
      </c>
      <c r="D1270" s="524">
        <v>6000</v>
      </c>
      <c r="E1270" s="525">
        <f>SUMIFS('Accounting data'!$G$2:$G$37000,'Accounting data'!$I$2:$I$37000,"7*",'Accounting data'!$J$2:$J$37000,"25*",'Accounting data'!$K$2:$K$37000,"6*")+SUMIFS('Accounting data'!$G$2:$G$37000,'Accounting data'!$I$2:$I$37000,"8*",'Accounting data'!$J$2:$J$37000,"25*",'Accounting data'!$K$2:$K$37000,"6*")+SUMIFS('Accounting data'!$G$2:$G$37000,'Accounting data'!$I$2:$I$37000,"9*",'Accounting data'!$J$2:$J$37000,"25*",'Accounting data'!$K$2:$K$37000,"6*")</f>
        <v>0</v>
      </c>
    </row>
    <row r="1271" spans="1:5" x14ac:dyDescent="0.25">
      <c r="A1271" s="524" t="s">
        <v>963</v>
      </c>
      <c r="B1271" s="524" t="s">
        <v>965</v>
      </c>
      <c r="C1271" s="524">
        <v>2500</v>
      </c>
      <c r="D1271" s="524">
        <v>6900</v>
      </c>
      <c r="E1271" s="525">
        <f>SUMIFS('Accounting data'!$G$2:$G$37000,'Accounting data'!$I$2:$I$37000,"7*",'Accounting data'!$J$2:$J$37000,"25*",'Accounting data'!$K$2:$K$37000,"69*")+SUMIFS('Accounting data'!$G$2:$G$37000,'Accounting data'!$I$2:$I$37000,"8*",'Accounting data'!$J$2:$J$37000,"25*",'Accounting data'!$K$2:$K$37000,"69*")+SUMIFS('Accounting data'!$G$2:$G$37000,'Accounting data'!$I$2:$I$37000,"9*",'Accounting data'!$J$2:$J$37000,"25*",'Accounting data'!$K$2:$K$37000,"69*")</f>
        <v>0</v>
      </c>
    </row>
    <row r="1272" spans="1:5" x14ac:dyDescent="0.25">
      <c r="A1272" s="524" t="s">
        <v>963</v>
      </c>
      <c r="B1272" s="524" t="s">
        <v>965</v>
      </c>
      <c r="C1272" s="524">
        <v>2500</v>
      </c>
      <c r="D1272" s="533">
        <v>6700</v>
      </c>
      <c r="E1272" s="525">
        <f>SUMIFS('Accounting data'!$G$2:$G$37000,'Accounting data'!$I$2:$I$37000,"7*",'Accounting data'!$J$2:$J$37000,"25*",'Accounting data'!$K$2:$K$37000,"67*")+SUMIFS('Accounting data'!$G$2:$G$37000,'Accounting data'!$I$2:$I$37000,"8*",'Accounting data'!$J$2:$J$37000,"25*",'Accounting data'!$K$2:$K$37000,"67*")+SUMIFS('Accounting data'!$G$2:$G$37000,'Accounting data'!$I$2:$I$37000,"9*",'Accounting data'!$J$2:$J$37000,"25*",'Accounting data'!$K$2:$K$37000,"67*")</f>
        <v>0</v>
      </c>
    </row>
    <row r="1273" spans="1:5" x14ac:dyDescent="0.25">
      <c r="A1273" s="526" t="s">
        <v>964</v>
      </c>
      <c r="B1273" s="524" t="s">
        <v>965</v>
      </c>
      <c r="C1273" s="524">
        <v>2500</v>
      </c>
      <c r="D1273" s="524">
        <v>6000</v>
      </c>
      <c r="E1273" s="525">
        <f>SUMIFS('Accounting data'!$G$2:$G$37000,'Accounting data'!$H$2:$H$37000,"9999*",'Accounting data'!$I$2:$I$37000,"7*",'Accounting data'!$J$2:$J$37000,"25*",'Accounting data'!$K$2:$K$37000,"6*")+SUMIFS('Accounting data'!$G$2:$G$37000,'Accounting data'!$H$2:$H$37000,"9999*",'Accounting data'!$I$2:$I$37000,"8*",'Accounting data'!$J$2:$J$37000,"25*",'Accounting data'!$K$2:$K$37000,"6*")+SUMIFS('Accounting data'!$G$2:$G$37000,'Accounting data'!$H$2:$H$37000,"9999*",'Accounting data'!$I$2:$I$37000,"9*",'Accounting data'!$J$2:$J$37000,"25*",'Accounting data'!$K$2:$K$37000,"6*")</f>
        <v>0</v>
      </c>
    </row>
    <row r="1274" spans="1:5" x14ac:dyDescent="0.25">
      <c r="A1274" s="524"/>
      <c r="B1274" s="524"/>
      <c r="C1274" s="524"/>
      <c r="D1274" s="524"/>
      <c r="E1274" s="525"/>
    </row>
    <row r="1275" spans="1:5" x14ac:dyDescent="0.25">
      <c r="A1275" s="526" t="s">
        <v>964</v>
      </c>
      <c r="B1275" s="524" t="s">
        <v>965</v>
      </c>
      <c r="C1275" s="524">
        <v>2500</v>
      </c>
      <c r="D1275" s="524">
        <v>6900</v>
      </c>
      <c r="E1275" s="525">
        <f>SUMIFS('Accounting data'!$G$2:$G$37000,'Accounting data'!$H$2:$H$37000,"9999*",'Accounting data'!$I$2:$I$37000,"7*",'Accounting data'!$J$2:$J$37000,"25*",'Accounting data'!$K$2:$K$37000,"69*")+SUMIFS('Accounting data'!$G$2:$G$37000,'Accounting data'!$H$2:$H$37000,"9999*",'Accounting data'!$I$2:$I$37000,"8*",'Accounting data'!$J$2:$J$37000,"25*",'Accounting data'!$K$2:$K$37000,"69*")+SUMIFS('Accounting data'!$G$2:$G$37000,'Accounting data'!$H$2:$H$37000,"9999*",'Accounting data'!$I$2:$I$37000,"9*",'Accounting data'!$J$2:$J$37000,"25*",'Accounting data'!$K$2:$K$37000,"69*")</f>
        <v>0</v>
      </c>
    </row>
    <row r="1276" spans="1:5" x14ac:dyDescent="0.25">
      <c r="A1276" s="524"/>
      <c r="B1276" s="524"/>
      <c r="C1276" s="524"/>
      <c r="D1276" s="524"/>
      <c r="E1276" s="525"/>
    </row>
    <row r="1277" spans="1:5" x14ac:dyDescent="0.25">
      <c r="A1277" s="526" t="s">
        <v>964</v>
      </c>
      <c r="B1277" s="524" t="s">
        <v>965</v>
      </c>
      <c r="C1277" s="524">
        <v>2500</v>
      </c>
      <c r="D1277" s="533">
        <v>6700</v>
      </c>
      <c r="E1277" s="525">
        <f>SUMIFS('Accounting data'!$G$2:$G$37000,'Accounting data'!$H$2:$H$37000,"9999*",'Accounting data'!$I$2:$I$37000,"7*",'Accounting data'!$J$2:$J$37000,"25*",'Accounting data'!$K$2:$K$37000,"67*")+SUMIFS('Accounting data'!$G$2:$G$37000,'Accounting data'!$H$2:$H$37000,"9999*",'Accounting data'!$I$2:$I$37000,"8*",'Accounting data'!$J$2:$J$37000,"25*",'Accounting data'!$K$2:$K$37000,"67*")+SUMIFS('Accounting data'!$G$2:$G$37000,'Accounting data'!$H$2:$H$37000,"9999*",'Accounting data'!$I$2:$I$37000,"9*",'Accounting data'!$J$2:$J$37000,"25*",'Accounting data'!$K$2:$K$37000,"67*")</f>
        <v>0</v>
      </c>
    </row>
    <row r="1278" spans="1:5" x14ac:dyDescent="0.25">
      <c r="A1278" s="526"/>
      <c r="B1278" s="524"/>
      <c r="C1278" s="524"/>
      <c r="D1278" s="533"/>
      <c r="E1278" s="525"/>
    </row>
    <row r="1279" spans="1:5" x14ac:dyDescent="0.25">
      <c r="A1279" s="526"/>
      <c r="B1279" s="524"/>
      <c r="C1279" s="524"/>
      <c r="D1279" s="533"/>
      <c r="E1279" s="525"/>
    </row>
    <row r="1280" spans="1:5" x14ac:dyDescent="0.25">
      <c r="A1280" s="527" t="s">
        <v>1065</v>
      </c>
      <c r="B1280" s="527"/>
      <c r="C1280" s="527"/>
      <c r="D1280" s="527"/>
      <c r="E1280" s="529">
        <f>(E1270-E1271-E1272)-((E1273+E1274)-(E1275+E1276))-(E1277+E1278+E1279)</f>
        <v>0</v>
      </c>
    </row>
    <row r="1281" spans="1:5" x14ac:dyDescent="0.25">
      <c r="A1281" s="524" t="s">
        <v>963</v>
      </c>
      <c r="B1281" s="524" t="s">
        <v>965</v>
      </c>
      <c r="C1281" s="524">
        <v>2900</v>
      </c>
      <c r="D1281" s="524">
        <v>6000</v>
      </c>
      <c r="E1281" s="525">
        <f>SUMIFS('Accounting data'!$G$2:$G$37000,'Accounting data'!$I$2:$I$37000,"7*",'Accounting data'!$J$2:$J$37000,"29*",'Accounting data'!$K$2:$K$37000,"6*")+SUMIFS('Accounting data'!$G$2:$G$37000,'Accounting data'!$I$2:$I$37000,"8*",'Accounting data'!$J$2:$J$37000,"29*",'Accounting data'!$K$2:$K$37000,"6*")+SUMIFS('Accounting data'!$G$2:$G$37000,'Accounting data'!$I$2:$I$37000,"9*",'Accounting data'!$J$2:$J$37000,"29*",'Accounting data'!$K$2:$K$37000,"6*")</f>
        <v>0</v>
      </c>
    </row>
    <row r="1282" spans="1:5" x14ac:dyDescent="0.25">
      <c r="A1282" s="524" t="s">
        <v>963</v>
      </c>
      <c r="B1282" s="524" t="s">
        <v>965</v>
      </c>
      <c r="C1282" s="524">
        <v>2900</v>
      </c>
      <c r="D1282" s="524">
        <v>6900</v>
      </c>
      <c r="E1282" s="525">
        <f>SUMIFS('Accounting data'!$G$2:$G$37000,'Accounting data'!$I$2:$I$37000,"7*",'Accounting data'!$J$2:$J$37000,"29*",'Accounting data'!$K$2:$K$37000,"69*")+SUMIFS('Accounting data'!$G$2:$G$37000,'Accounting data'!$I$2:$I$37000,"8*",'Accounting data'!$J$2:$J$37000,"29*",'Accounting data'!$K$2:$K$37000,"69*")+SUMIFS('Accounting data'!$G$2:$G$37000,'Accounting data'!$I$2:$I$37000,"9*",'Accounting data'!$J$2:$J$37000,"29*",'Accounting data'!$K$2:$K$37000,"69*")</f>
        <v>0</v>
      </c>
    </row>
    <row r="1283" spans="1:5" x14ac:dyDescent="0.25">
      <c r="A1283" s="524" t="s">
        <v>963</v>
      </c>
      <c r="B1283" s="524" t="s">
        <v>965</v>
      </c>
      <c r="C1283" s="524">
        <v>2900</v>
      </c>
      <c r="D1283" s="533">
        <v>6700</v>
      </c>
      <c r="E1283" s="525">
        <f>SUMIFS('Accounting data'!$G$2:$G$37000,'Accounting data'!$I$2:$I$37000,"7*",'Accounting data'!$J$2:$J$37000,"29*",'Accounting data'!$K$2:$K$37000,"67*")+SUMIFS('Accounting data'!$G$2:$G$37000,'Accounting data'!$I$2:$I$37000,"8*",'Accounting data'!$J$2:$J$37000,"29*",'Accounting data'!$K$2:$K$37000,"67*")+SUMIFS('Accounting data'!$G$2:$G$37000,'Accounting data'!$I$2:$I$37000,"9*",'Accounting data'!$J$2:$J$37000,"29*",'Accounting data'!$K$2:$K$37000,"67*")</f>
        <v>0</v>
      </c>
    </row>
    <row r="1284" spans="1:5" x14ac:dyDescent="0.25">
      <c r="A1284" s="526" t="s">
        <v>964</v>
      </c>
      <c r="B1284" s="524" t="s">
        <v>965</v>
      </c>
      <c r="C1284" s="524">
        <v>2900</v>
      </c>
      <c r="D1284" s="524">
        <v>6000</v>
      </c>
      <c r="E1284" s="525">
        <f>SUMIFS('Accounting data'!$G$2:$G$37000,'Accounting data'!$H$2:$H$37000,"9999*",'Accounting data'!$I$2:$I$37000,"7*",'Accounting data'!$J$2:$J$37000,"29*",'Accounting data'!$K$2:$K$37000,"6*")+SUMIFS('Accounting data'!$G$2:$G$37000,'Accounting data'!$H$2:$H$37000,"9999*",'Accounting data'!$I$2:$I$37000,"8*",'Accounting data'!$J$2:$J$37000,"29*",'Accounting data'!$K$2:$K$37000,"6*")+SUMIFS('Accounting data'!$G$2:$G$37000,'Accounting data'!$H$2:$H$37000,"9999*",'Accounting data'!$I$2:$I$37000,"9*",'Accounting data'!$J$2:$J$37000,"29*",'Accounting data'!$K$2:$K$37000,"6*")</f>
        <v>0</v>
      </c>
    </row>
    <row r="1285" spans="1:5" x14ac:dyDescent="0.25">
      <c r="A1285" s="524"/>
      <c r="B1285" s="524"/>
      <c r="C1285" s="524"/>
      <c r="D1285" s="524"/>
      <c r="E1285" s="525"/>
    </row>
    <row r="1286" spans="1:5" x14ac:dyDescent="0.25">
      <c r="A1286" s="526" t="s">
        <v>964</v>
      </c>
      <c r="B1286" s="524" t="s">
        <v>965</v>
      </c>
      <c r="C1286" s="524">
        <v>2900</v>
      </c>
      <c r="D1286" s="524">
        <v>6900</v>
      </c>
      <c r="E1286" s="525">
        <f>SUMIFS('Accounting data'!$G$2:$G$37000,'Accounting data'!$H$2:$H$37000,"9999*",'Accounting data'!$I$2:$I$37000,"7*",'Accounting data'!$J$2:$J$37000,"29*",'Accounting data'!$K$2:$K$37000,"69*")+SUMIFS('Accounting data'!$G$2:$G$37000,'Accounting data'!$H$2:$H$37000,"9999*",'Accounting data'!$I$2:$I$37000,"8*",'Accounting data'!$J$2:$J$37000,"29*",'Accounting data'!$K$2:$K$37000,"69*")+SUMIFS('Accounting data'!$G$2:$G$37000,'Accounting data'!$H$2:$H$37000,"9999*",'Accounting data'!$I$2:$I$37000,"9*",'Accounting data'!$J$2:$J$37000,"29*",'Accounting data'!$K$2:$K$37000,"69*")</f>
        <v>0</v>
      </c>
    </row>
    <row r="1287" spans="1:5" x14ac:dyDescent="0.25">
      <c r="A1287" s="524"/>
      <c r="B1287" s="524"/>
      <c r="C1287" s="524"/>
      <c r="D1287" s="524"/>
      <c r="E1287" s="525"/>
    </row>
    <row r="1288" spans="1:5" x14ac:dyDescent="0.25">
      <c r="A1288" s="526" t="s">
        <v>964</v>
      </c>
      <c r="B1288" s="524" t="s">
        <v>965</v>
      </c>
      <c r="C1288" s="524">
        <v>2900</v>
      </c>
      <c r="D1288" s="533">
        <v>6700</v>
      </c>
      <c r="E1288" s="525">
        <f>SUMIFS('Accounting data'!$G$2:$G$37000,'Accounting data'!$H$2:$H$37000,"9999*",'Accounting data'!$I$2:$I$37000,"7*",'Accounting data'!$J$2:$J$37000,"29*",'Accounting data'!$K$2:$K$37000,"67*")+SUMIFS('Accounting data'!$G$2:$G$37000,'Accounting data'!$H$2:$H$37000,"9999*",'Accounting data'!$I$2:$I$37000,"8*",'Accounting data'!$J$2:$J$37000,"29*",'Accounting data'!$K$2:$K$37000,"67*")+SUMIFS('Accounting data'!$G$2:$G$37000,'Accounting data'!$H$2:$H$37000,"9999*",'Accounting data'!$I$2:$I$37000,"9*",'Accounting data'!$J$2:$J$37000,"29*",'Accounting data'!$K$2:$K$37000,"67*")</f>
        <v>0</v>
      </c>
    </row>
    <row r="1289" spans="1:5" x14ac:dyDescent="0.25">
      <c r="A1289" s="526"/>
      <c r="B1289" s="524"/>
      <c r="C1289" s="524"/>
      <c r="D1289" s="533"/>
      <c r="E1289" s="525"/>
    </row>
    <row r="1290" spans="1:5" x14ac:dyDescent="0.25">
      <c r="A1290" s="526"/>
      <c r="B1290" s="524"/>
      <c r="C1290" s="524"/>
      <c r="D1290" s="533"/>
      <c r="E1290" s="525"/>
    </row>
    <row r="1291" spans="1:5" x14ac:dyDescent="0.25">
      <c r="A1291" s="527" t="s">
        <v>1066</v>
      </c>
      <c r="B1291" s="527"/>
      <c r="C1291" s="527"/>
      <c r="D1291" s="527"/>
      <c r="E1291" s="529">
        <f>(E1281-E1282-E1283)-((E1284+E1285)-(E1286+E1287))-(E1288+E1289+E1290)</f>
        <v>0</v>
      </c>
    </row>
    <row r="1292" spans="1:5" x14ac:dyDescent="0.25">
      <c r="A1292" s="524" t="s">
        <v>963</v>
      </c>
      <c r="B1292" s="524" t="s">
        <v>965</v>
      </c>
      <c r="C1292" s="524">
        <v>2600</v>
      </c>
      <c r="D1292" s="524">
        <v>6000</v>
      </c>
      <c r="E1292" s="525">
        <f>SUMIFS('Accounting data'!$G$2:$G$37000,'Accounting data'!$I$2:$I$37000,"7*",'Accounting data'!$J$2:$J$37000,"26*",'Accounting data'!$K$2:$K$37000,"6*")+SUMIFS('Accounting data'!$G$2:$G$37000,'Accounting data'!$I$2:$I$37000,"8*",'Accounting data'!$J$2:$J$37000,"26*",'Accounting data'!$K$2:$K$37000,"6*")+SUMIFS('Accounting data'!$G$2:$G$37000,'Accounting data'!$I$2:$I$37000,"9*",'Accounting data'!$J$2:$J$37000,"26*",'Accounting data'!$K$2:$K$37000,"6*")</f>
        <v>0</v>
      </c>
    </row>
    <row r="1293" spans="1:5" x14ac:dyDescent="0.25">
      <c r="A1293" s="524" t="s">
        <v>963</v>
      </c>
      <c r="B1293" s="524" t="s">
        <v>965</v>
      </c>
      <c r="C1293" s="524">
        <v>2600</v>
      </c>
      <c r="D1293" s="524">
        <v>6900</v>
      </c>
      <c r="E1293" s="525">
        <f>SUMIFS('Accounting data'!$G$2:$G$37000,'Accounting data'!$I$2:$I$37000,"7*",'Accounting data'!$J$2:$J$37000,"26*",'Accounting data'!$K$2:$K$37000,"69*")+SUMIFS('Accounting data'!$G$2:$G$37000,'Accounting data'!$I$2:$I$37000,"8*",'Accounting data'!$J$2:$J$37000,"26*",'Accounting data'!$K$2:$K$37000,"69*")+SUMIFS('Accounting data'!$G$2:$G$37000,'Accounting data'!$I$2:$I$37000,"9*",'Accounting data'!$J$2:$J$37000,"26*",'Accounting data'!$K$2:$K$37000,"69*")</f>
        <v>0</v>
      </c>
    </row>
    <row r="1294" spans="1:5" x14ac:dyDescent="0.25">
      <c r="A1294" s="524" t="s">
        <v>963</v>
      </c>
      <c r="B1294" s="524" t="s">
        <v>965</v>
      </c>
      <c r="C1294" s="524">
        <v>2600</v>
      </c>
      <c r="D1294" s="533">
        <v>6700</v>
      </c>
      <c r="E1294" s="525">
        <f>SUMIFS('Accounting data'!$G$2:$G$37000,'Accounting data'!$I$2:$I$37000,"7*",'Accounting data'!$J$2:$J$37000,"26*",'Accounting data'!$K$2:$K$37000,"67*")+SUMIFS('Accounting data'!$G$2:$G$37000,'Accounting data'!$I$2:$I$37000,"8*",'Accounting data'!$J$2:$J$37000,"26*",'Accounting data'!$K$2:$K$37000,"67*")+SUMIFS('Accounting data'!$G$2:$G$37000,'Accounting data'!$I$2:$I$37000,"9*",'Accounting data'!$J$2:$J$37000,"26*",'Accounting data'!$K$2:$K$37000,"67*")</f>
        <v>0</v>
      </c>
    </row>
    <row r="1295" spans="1:5" x14ac:dyDescent="0.25">
      <c r="A1295" s="526" t="s">
        <v>964</v>
      </c>
      <c r="B1295" s="524" t="s">
        <v>965</v>
      </c>
      <c r="C1295" s="524">
        <v>2600</v>
      </c>
      <c r="D1295" s="524">
        <v>6000</v>
      </c>
      <c r="E1295" s="525">
        <f>SUMIFS('Accounting data'!$G$2:$G$37000,'Accounting data'!$H$2:$H$37000,"9999*",'Accounting data'!$I$2:$I$37000,"7*",'Accounting data'!$J$2:$J$37000,"26*",'Accounting data'!$K$2:$K$37000,"6*")+SUMIFS('Accounting data'!$G$2:$G$37000,'Accounting data'!$H$2:$H$37000,"9999*",'Accounting data'!$I$2:$I$37000,"8*",'Accounting data'!$J$2:$J$37000,"26*",'Accounting data'!$K$2:$K$37000,"6*")+SUMIFS('Accounting data'!$G$2:$G$37000,'Accounting data'!$H$2:$H$37000,"9999*",'Accounting data'!$I$2:$I$37000,"9*",'Accounting data'!$J$2:$J$37000,"26*",'Accounting data'!$K$2:$K$37000,"6*")</f>
        <v>0</v>
      </c>
    </row>
    <row r="1297" spans="1:5" x14ac:dyDescent="0.25">
      <c r="A1297" s="526" t="s">
        <v>964</v>
      </c>
      <c r="B1297" s="524" t="s">
        <v>965</v>
      </c>
      <c r="C1297" s="524">
        <v>2600</v>
      </c>
      <c r="D1297" s="524">
        <v>6900</v>
      </c>
      <c r="E1297" s="525">
        <f>SUMIFS('Accounting data'!$G$2:$G$37000,'Accounting data'!$H$2:$H$37000,"9999*",'Accounting data'!$I$2:$I$37000,"7*",'Accounting data'!$J$2:$J$37000,"26*",'Accounting data'!$K$2:$K$37000,"69*")+SUMIFS('Accounting data'!$G$2:$G$37000,'Accounting data'!$H$2:$H$37000,"9999*",'Accounting data'!$I$2:$I$37000,"8*",'Accounting data'!$J$2:$J$37000,"26*",'Accounting data'!$K$2:$K$37000,"69*")+SUMIFS('Accounting data'!$G$2:$G$37000,'Accounting data'!$H$2:$H$37000,"9999*",'Accounting data'!$I$2:$I$37000,"9*",'Accounting data'!$J$2:$J$37000,"26*",'Accounting data'!$K$2:$K$37000,"69*")</f>
        <v>0</v>
      </c>
    </row>
    <row r="1298" spans="1:5" x14ac:dyDescent="0.25">
      <c r="A1298" s="524"/>
      <c r="B1298" s="524"/>
      <c r="C1298" s="524"/>
      <c r="D1298" s="524"/>
      <c r="E1298" s="525"/>
    </row>
    <row r="1299" spans="1:5" x14ac:dyDescent="0.25">
      <c r="A1299" s="526" t="s">
        <v>964</v>
      </c>
      <c r="B1299" s="524" t="s">
        <v>965</v>
      </c>
      <c r="C1299" s="524">
        <v>2600</v>
      </c>
      <c r="D1299" s="533">
        <v>6700</v>
      </c>
      <c r="E1299" s="525">
        <f>SUMIFS('Accounting data'!$G$2:$G$37000,'Accounting data'!$H$2:$H$37000,"9999*",'Accounting data'!$I$2:$I$37000,"7*",'Accounting data'!$J$2:$J$37000,"26*",'Accounting data'!$K$2:$K$37000,"67*")+SUMIFS('Accounting data'!$G$2:$G$37000,'Accounting data'!$H$2:$H$37000,"9999*",'Accounting data'!$I$2:$I$37000,"8*",'Accounting data'!$J$2:$J$37000,"26*",'Accounting data'!$K$2:$K$37000,"67*")+SUMIFS('Accounting data'!$G$2:$G$37000,'Accounting data'!$H$2:$H$37000,"9999*",'Accounting data'!$I$2:$I$37000,"9*",'Accounting data'!$J$2:$J$37000,"26*",'Accounting data'!$K$2:$K$37000,"67*")</f>
        <v>0</v>
      </c>
    </row>
    <row r="1300" spans="1:5" x14ac:dyDescent="0.25">
      <c r="A1300" s="526"/>
      <c r="B1300" s="524"/>
      <c r="C1300" s="524"/>
      <c r="D1300" s="533"/>
      <c r="E1300" s="525"/>
    </row>
    <row r="1301" spans="1:5" x14ac:dyDescent="0.25">
      <c r="A1301" s="526"/>
      <c r="B1301" s="524"/>
      <c r="C1301" s="524"/>
      <c r="D1301" s="533"/>
      <c r="E1301" s="525"/>
    </row>
    <row r="1302" spans="1:5" x14ac:dyDescent="0.25">
      <c r="A1302" s="527" t="s">
        <v>1067</v>
      </c>
      <c r="B1302" s="527"/>
      <c r="C1302" s="527"/>
      <c r="D1302" s="527"/>
      <c r="E1302" s="529">
        <f>(E1292-E1293-E1294)-((E1295+E1296)-(E1297+E1298))-(E1299+E1300+E1301)</f>
        <v>0</v>
      </c>
    </row>
    <row r="1303" spans="1:5" x14ac:dyDescent="0.25">
      <c r="A1303" s="524" t="s">
        <v>963</v>
      </c>
      <c r="B1303" s="524" t="s">
        <v>965</v>
      </c>
      <c r="C1303" s="524">
        <v>3100</v>
      </c>
      <c r="D1303" s="524">
        <v>6000</v>
      </c>
      <c r="E1303" s="525">
        <f>SUMIFS('Accounting data'!$G$2:$G$37000,'Accounting data'!$I$2:$I$37000,"7*",'Accounting data'!$J$2:$J$37000,"31*",'Accounting data'!$K$2:$K$37000,"6*")+SUMIFS('Accounting data'!$G$2:$G$37000,'Accounting data'!$I$2:$I$37000,"8*",'Accounting data'!$J$2:$J$37000,"31*",'Accounting data'!$K$2:$K$37000,"6*")+SUMIFS('Accounting data'!$G$2:$G$37000,'Accounting data'!$I$2:$I$37000,"9*",'Accounting data'!$J$2:$J$37000,"31*",'Accounting data'!$K$2:$K$37000,"6*")</f>
        <v>0</v>
      </c>
    </row>
    <row r="1304" spans="1:5" x14ac:dyDescent="0.25">
      <c r="A1304" s="524" t="s">
        <v>963</v>
      </c>
      <c r="B1304" s="524" t="s">
        <v>965</v>
      </c>
      <c r="C1304" s="524">
        <v>3100</v>
      </c>
      <c r="D1304" s="524">
        <v>6900</v>
      </c>
      <c r="E1304" s="525">
        <f>SUMIFS('Accounting data'!$G$2:$G$37000,'Accounting data'!$I$2:$I$37000,"7*",'Accounting data'!$J$2:$J$37000,"31*",'Accounting data'!$K$2:$K$37000,"69*")+SUMIFS('Accounting data'!$G$2:$G$37000,'Accounting data'!$I$2:$I$37000,"8*",'Accounting data'!$J$2:$J$37000,"31*",'Accounting data'!$K$2:$K$37000,"69*")+SUMIFS('Accounting data'!$G$2:$G$37000,'Accounting data'!$I$2:$I$37000,"9*",'Accounting data'!$J$2:$J$37000,"31*",'Accounting data'!$K$2:$K$37000,"69*")</f>
        <v>0</v>
      </c>
    </row>
    <row r="1305" spans="1:5" x14ac:dyDescent="0.25">
      <c r="A1305" s="524" t="s">
        <v>963</v>
      </c>
      <c r="B1305" s="524" t="s">
        <v>965</v>
      </c>
      <c r="C1305" s="524">
        <v>3100</v>
      </c>
      <c r="D1305" s="533">
        <v>6700</v>
      </c>
      <c r="E1305" s="525">
        <f>SUMIFS('Accounting data'!$G$2:$G$37000,'Accounting data'!$I$2:$I$37000,"7*",'Accounting data'!$J$2:$J$37000,"31*",'Accounting data'!$K$2:$K$37000,"67*")+SUMIFS('Accounting data'!$G$2:$G$37000,'Accounting data'!$I$2:$I$37000,"8*",'Accounting data'!$J$2:$J$37000,"31*",'Accounting data'!$K$2:$K$37000,"67*")+SUMIFS('Accounting data'!$G$2:$G$37000,'Accounting data'!$I$2:$I$37000,"9*",'Accounting data'!$J$2:$J$37000,"31*",'Accounting data'!$K$2:$K$37000,"67*")</f>
        <v>0</v>
      </c>
    </row>
    <row r="1306" spans="1:5" x14ac:dyDescent="0.25">
      <c r="A1306" s="526" t="s">
        <v>964</v>
      </c>
      <c r="B1306" s="524" t="s">
        <v>965</v>
      </c>
      <c r="C1306" s="524">
        <v>3100</v>
      </c>
      <c r="D1306" s="524">
        <v>6000</v>
      </c>
      <c r="E1306" s="525">
        <f>SUMIFS('Accounting data'!$G$2:$G$37000,'Accounting data'!$H$2:$H$37000,"9999*",'Accounting data'!$I$2:$I$37000,"7*",'Accounting data'!$J$2:$J$37000,"31*",'Accounting data'!$K$2:$K$37000,"6*")+SUMIFS('Accounting data'!$G$2:$G$37000,'Accounting data'!$H$2:$H$37000,"9999*",'Accounting data'!$I$2:$I$37000,"8*",'Accounting data'!$J$2:$J$37000,"31*",'Accounting data'!$K$2:$K$37000,"6*")+SUMIFS('Accounting data'!$G$2:$G$37000,'Accounting data'!$H$2:$H$37000,"9999*",'Accounting data'!$I$2:$I$37000,"9*",'Accounting data'!$J$2:$J$37000,"31*",'Accounting data'!$K$2:$K$37000,"6*")</f>
        <v>0</v>
      </c>
    </row>
    <row r="1307" spans="1:5" x14ac:dyDescent="0.25">
      <c r="A1307" s="524"/>
      <c r="B1307" s="524"/>
      <c r="C1307" s="524"/>
      <c r="D1307" s="524"/>
      <c r="E1307" s="525"/>
    </row>
    <row r="1308" spans="1:5" x14ac:dyDescent="0.25">
      <c r="A1308" s="526" t="s">
        <v>964</v>
      </c>
      <c r="B1308" s="524" t="s">
        <v>965</v>
      </c>
      <c r="C1308" s="524">
        <v>3100</v>
      </c>
      <c r="D1308" s="524">
        <v>6900</v>
      </c>
      <c r="E1308" s="525">
        <f>SUMIFS('Accounting data'!$G$2:$G$37000,'Accounting data'!$H$2:$H$37000,"9999*",'Accounting data'!$I$2:$I$37000,"7*",'Accounting data'!$J$2:$J$37000,"31*",'Accounting data'!$K$2:$K$37000,"69*")+SUMIFS('Accounting data'!$G$2:$G$37000,'Accounting data'!$H$2:$H$37000,"9999*",'Accounting data'!$I$2:$I$37000,"8*",'Accounting data'!$J$2:$J$37000,"31*",'Accounting data'!$K$2:$K$37000,"69*")+SUMIFS('Accounting data'!$G$2:$G$37000,'Accounting data'!$H$2:$H$37000,"9999*",'Accounting data'!$I$2:$I$37000,"9*",'Accounting data'!$J$2:$J$37000,"31*",'Accounting data'!$K$2:$K$37000,"69*")</f>
        <v>0</v>
      </c>
    </row>
    <row r="1309" spans="1:5" x14ac:dyDescent="0.25">
      <c r="A1309" s="524"/>
      <c r="B1309" s="524"/>
      <c r="C1309" s="524"/>
      <c r="D1309" s="524"/>
      <c r="E1309" s="525"/>
    </row>
    <row r="1310" spans="1:5" x14ac:dyDescent="0.25">
      <c r="A1310" s="526" t="s">
        <v>964</v>
      </c>
      <c r="B1310" s="524" t="s">
        <v>965</v>
      </c>
      <c r="C1310" s="524">
        <v>3100</v>
      </c>
      <c r="D1310" s="533">
        <v>6700</v>
      </c>
      <c r="E1310" s="525">
        <f>SUMIFS('Accounting data'!$G$2:$G$37000,'Accounting data'!$H$2:$H$37000,"9999*",'Accounting data'!$I$2:$I$37000,"7*",'Accounting data'!$J$2:$J$37000,"31*",'Accounting data'!$K$2:$K$37000,"67*")+SUMIFS('Accounting data'!$G$2:$G$37000,'Accounting data'!$H$2:$H$37000,"9999*",'Accounting data'!$I$2:$I$37000,"8*",'Accounting data'!$J$2:$J$37000,"31*",'Accounting data'!$K$2:$K$37000,"67*")+SUMIFS('Accounting data'!$G$2:$G$37000,'Accounting data'!$H$2:$H$37000,"9999*",'Accounting data'!$I$2:$I$37000,"9*",'Accounting data'!$J$2:$J$37000,"31*",'Accounting data'!$K$2:$K$37000,"67*")</f>
        <v>0</v>
      </c>
    </row>
    <row r="1313" spans="1:5" x14ac:dyDescent="0.25">
      <c r="A1313" s="527" t="s">
        <v>1068</v>
      </c>
      <c r="B1313" s="527"/>
      <c r="C1313" s="527"/>
      <c r="D1313" s="527"/>
      <c r="E1313" s="529">
        <f>(E1303-E1304-E1305)-((E1306+E1307)-(E1308+E1309))-(E1310+E1311+E1312)</f>
        <v>0</v>
      </c>
    </row>
    <row r="1314" spans="1:5" x14ac:dyDescent="0.25">
      <c r="A1314" s="524"/>
      <c r="B1314" s="524"/>
      <c r="C1314" s="524"/>
      <c r="D1314" s="524"/>
      <c r="E1314" s="525"/>
    </row>
    <row r="1315" spans="1:5" x14ac:dyDescent="0.25">
      <c r="A1315" s="524"/>
      <c r="B1315" s="524"/>
      <c r="C1315" s="524"/>
      <c r="D1315" s="524"/>
      <c r="E1315" s="525"/>
    </row>
    <row r="1316" spans="1:5" x14ac:dyDescent="0.25">
      <c r="A1316" s="524"/>
      <c r="B1316" s="524"/>
      <c r="C1316" s="524"/>
      <c r="D1316" s="533"/>
      <c r="E1316" s="525"/>
    </row>
    <row r="1317" spans="1:5" x14ac:dyDescent="0.25">
      <c r="A1317" s="526"/>
      <c r="B1317" s="524"/>
      <c r="C1317" s="524"/>
      <c r="D1317" s="524"/>
      <c r="E1317" s="525"/>
    </row>
    <row r="1318" spans="1:5" x14ac:dyDescent="0.25">
      <c r="A1318" s="524"/>
      <c r="B1318" s="524"/>
      <c r="C1318" s="524"/>
      <c r="D1318" s="524"/>
      <c r="E1318" s="525"/>
    </row>
    <row r="1319" spans="1:5" x14ac:dyDescent="0.25">
      <c r="A1319" s="526"/>
      <c r="B1319" s="524"/>
      <c r="C1319" s="524"/>
      <c r="D1319" s="524"/>
      <c r="E1319" s="525"/>
    </row>
    <row r="1320" spans="1:5" x14ac:dyDescent="0.25">
      <c r="A1320" s="524"/>
      <c r="B1320" s="524"/>
      <c r="C1320" s="524"/>
      <c r="D1320" s="524"/>
      <c r="E1320" s="525"/>
    </row>
    <row r="1321" spans="1:5" x14ac:dyDescent="0.25">
      <c r="A1321" s="526"/>
      <c r="B1321" s="524"/>
      <c r="C1321" s="524"/>
      <c r="D1321" s="533"/>
      <c r="E1321" s="525"/>
    </row>
    <row r="1322" spans="1:5" x14ac:dyDescent="0.25">
      <c r="A1322" s="526"/>
      <c r="B1322" s="524"/>
      <c r="C1322" s="524"/>
      <c r="D1322" s="533"/>
      <c r="E1322" s="525"/>
    </row>
    <row r="1323" spans="1:5" x14ac:dyDescent="0.25">
      <c r="A1323" s="526"/>
      <c r="B1323" s="524"/>
      <c r="C1323" s="524"/>
      <c r="D1323" s="533"/>
      <c r="E1323" s="525"/>
    </row>
    <row r="1324" spans="1:5" x14ac:dyDescent="0.25">
      <c r="A1324" s="527"/>
      <c r="B1324" s="527"/>
      <c r="C1324" s="527"/>
      <c r="D1324" s="527"/>
      <c r="E1324" s="529"/>
    </row>
    <row r="1325" spans="1:5" x14ac:dyDescent="0.25">
      <c r="A1325" s="524" t="s">
        <v>963</v>
      </c>
      <c r="B1325" s="524" t="s">
        <v>965</v>
      </c>
      <c r="C1325" s="524">
        <v>3300</v>
      </c>
      <c r="D1325" s="524">
        <v>6000</v>
      </c>
      <c r="E1325" s="525">
        <f>SUMIFS('Accounting data'!$G$2:$G$37000,'Accounting data'!$I$2:$I$37000,"7*",'Accounting data'!$J$2:$J$37000,"33*",'Accounting data'!$K$2:$K$37000,"6*")+SUMIFS('Accounting data'!$G$2:$G$37000,'Accounting data'!$I$2:$I$37000,"8*",'Accounting data'!$J$2:$J$37000,"33*",'Accounting data'!$K$2:$K$37000,"6*")+SUMIFS('Accounting data'!$G$2:$G$37000,'Accounting data'!$I$2:$I$37000,"9*",'Accounting data'!$J$2:$J$37000,"33*",'Accounting data'!$K$2:$K$37000,"6*")</f>
        <v>0</v>
      </c>
    </row>
    <row r="1326" spans="1:5" x14ac:dyDescent="0.25">
      <c r="A1326" s="524" t="s">
        <v>963</v>
      </c>
      <c r="B1326" s="524" t="s">
        <v>965</v>
      </c>
      <c r="C1326" s="524">
        <v>3300</v>
      </c>
      <c r="D1326" s="524">
        <v>6900</v>
      </c>
      <c r="E1326" s="525">
        <f>SUMIFS('Accounting data'!$G$2:$G$37000,'Accounting data'!$I$2:$I$37000,"7*",'Accounting data'!$J$2:$J$37000,"33*",'Accounting data'!$K$2:$K$37000,"69*")+SUMIFS('Accounting data'!$G$2:$G$37000,'Accounting data'!$I$2:$I$37000,"8*",'Accounting data'!$J$2:$J$37000,"33*",'Accounting data'!$K$2:$K$37000,"69*")+SUMIFS('Accounting data'!$G$2:$G$37000,'Accounting data'!$I$2:$I$37000,"9*",'Accounting data'!$J$2:$J$37000,"33*",'Accounting data'!$K$2:$K$37000,"69*")</f>
        <v>0</v>
      </c>
    </row>
    <row r="1327" spans="1:5" x14ac:dyDescent="0.25">
      <c r="A1327" s="524" t="s">
        <v>963</v>
      </c>
      <c r="B1327" s="524" t="s">
        <v>965</v>
      </c>
      <c r="C1327" s="524">
        <v>3300</v>
      </c>
      <c r="D1327" s="533">
        <v>6700</v>
      </c>
      <c r="E1327" s="525">
        <f>SUMIFS('Accounting data'!$G$2:$G$37000,'Accounting data'!$I$2:$I$37000,"7*",'Accounting data'!$J$2:$J$37000,"33*",'Accounting data'!$K$2:$K$37000,"67*")+SUMIFS('Accounting data'!$G$2:$G$37000,'Accounting data'!$I$2:$I$37000,"8*",'Accounting data'!$J$2:$J$37000,"33*",'Accounting data'!$K$2:$K$37000,"67*")+SUMIFS('Accounting data'!$G$2:$G$37000,'Accounting data'!$I$2:$I$37000,"9*",'Accounting data'!$J$2:$J$37000,"33*",'Accounting data'!$K$2:$K$37000,"67*")</f>
        <v>0</v>
      </c>
    </row>
    <row r="1328" spans="1:5" x14ac:dyDescent="0.25">
      <c r="A1328" s="526" t="s">
        <v>964</v>
      </c>
      <c r="B1328" s="524" t="s">
        <v>965</v>
      </c>
      <c r="C1328" s="524">
        <v>3300</v>
      </c>
      <c r="D1328" s="524">
        <v>6000</v>
      </c>
      <c r="E1328" s="525">
        <f>SUMIFS('Accounting data'!$G$2:$G$37000,'Accounting data'!$H$2:$H$37000,"9999*",'Accounting data'!$I$2:$I$37000,"7*",'Accounting data'!$J$2:$J$37000,"33*",'Accounting data'!$K$2:$K$37000,"6*")+SUMIFS('Accounting data'!$G$2:$G$37000,'Accounting data'!$H$2:$H$37000,"9999*",'Accounting data'!$I$2:$I$37000,"8*",'Accounting data'!$J$2:$J$37000,"33*",'Accounting data'!$K$2:$K$37000,"6*")+SUMIFS('Accounting data'!$G$2:$G$37000,'Accounting data'!$H$2:$H$37000,"9999*",'Accounting data'!$I$2:$I$37000,"9*",'Accounting data'!$J$2:$J$37000,"33*",'Accounting data'!$K$2:$K$37000,"6*")</f>
        <v>0</v>
      </c>
    </row>
    <row r="1330" spans="1:5" x14ac:dyDescent="0.25">
      <c r="A1330" s="526" t="s">
        <v>964</v>
      </c>
      <c r="B1330" s="524" t="s">
        <v>965</v>
      </c>
      <c r="C1330" s="524">
        <v>3300</v>
      </c>
      <c r="D1330" s="524">
        <v>6900</v>
      </c>
      <c r="E1330" s="525">
        <f>SUMIFS('Accounting data'!$G$2:$G$37000,'Accounting data'!$H$2:$H$37000,"9999*",'Accounting data'!$I$2:$I$37000,"7*",'Accounting data'!$J$2:$J$37000,"33*",'Accounting data'!$K$2:$K$37000,"69*")+SUMIFS('Accounting data'!$G$2:$G$37000,'Accounting data'!$H$2:$H$37000,"9999*",'Accounting data'!$I$2:$I$37000,"8*",'Accounting data'!$J$2:$J$37000,"33*",'Accounting data'!$K$2:$K$37000,"69*")+SUMIFS('Accounting data'!$G$2:$G$37000,'Accounting data'!$H$2:$H$37000,"9999*",'Accounting data'!$I$2:$I$37000,"9*",'Accounting data'!$J$2:$J$37000,"33*",'Accounting data'!$K$2:$K$37000,"69*")</f>
        <v>0</v>
      </c>
    </row>
    <row r="1331" spans="1:5" x14ac:dyDescent="0.25">
      <c r="A1331" s="524"/>
      <c r="B1331" s="524"/>
      <c r="C1331" s="524"/>
      <c r="D1331" s="524"/>
      <c r="E1331" s="525"/>
    </row>
    <row r="1332" spans="1:5" x14ac:dyDescent="0.25">
      <c r="A1332" s="526" t="s">
        <v>964</v>
      </c>
      <c r="B1332" s="524" t="s">
        <v>965</v>
      </c>
      <c r="C1332" s="524">
        <v>3300</v>
      </c>
      <c r="D1332" s="533">
        <v>6700</v>
      </c>
      <c r="E1332" s="525">
        <f>SUMIFS('Accounting data'!$G$2:$G$37000,'Accounting data'!$H$2:$H$37000,"9999*",'Accounting data'!$I$2:$I$37000,"7*",'Accounting data'!$J$2:$J$37000,"33*",'Accounting data'!$K$2:$K$37000,"67*")+SUMIFS('Accounting data'!$G$2:$G$37000,'Accounting data'!$H$2:$H$37000,"9999*",'Accounting data'!$I$2:$I$37000,"8*",'Accounting data'!$J$2:$J$37000,"33*",'Accounting data'!$K$2:$K$37000,"67*")+SUMIFS('Accounting data'!$G$2:$G$37000,'Accounting data'!$H$2:$H$37000,"9999*",'Accounting data'!$I$2:$I$37000,"9*",'Accounting data'!$J$2:$J$37000,"33*",'Accounting data'!$K$2:$K$37000,"67*")</f>
        <v>0</v>
      </c>
    </row>
    <row r="1333" spans="1:5" x14ac:dyDescent="0.25">
      <c r="A1333" s="526"/>
      <c r="B1333" s="524"/>
      <c r="C1333" s="524"/>
      <c r="D1333" s="533"/>
      <c r="E1333" s="525"/>
    </row>
    <row r="1334" spans="1:5" x14ac:dyDescent="0.25">
      <c r="A1334" s="526"/>
      <c r="B1334" s="524"/>
      <c r="C1334" s="524"/>
      <c r="D1334" s="533"/>
      <c r="E1334" s="525"/>
    </row>
    <row r="1335" spans="1:5" x14ac:dyDescent="0.25">
      <c r="A1335" s="527" t="s">
        <v>1069</v>
      </c>
      <c r="B1335" s="527"/>
      <c r="C1335" s="527"/>
      <c r="D1335" s="527"/>
      <c r="E1335" s="529">
        <f>(E1325-E1326-E1327)-((E1328+E1329)-(E1330+E1331))-(E1332+E1333+E1334)</f>
        <v>0</v>
      </c>
    </row>
    <row r="1336" spans="1:5" x14ac:dyDescent="0.25">
      <c r="A1336" s="524" t="s">
        <v>963</v>
      </c>
      <c r="B1336" s="524" t="s">
        <v>965</v>
      </c>
      <c r="C1336" s="524">
        <v>3400</v>
      </c>
      <c r="D1336" s="524">
        <v>6000</v>
      </c>
      <c r="E1336" s="525">
        <f>SUMIFS('Accounting data'!$G$2:$G$37000,'Accounting data'!$I$2:$I$37000,"7*",'Accounting data'!$J$2:$J$37000,"34*",'Accounting data'!$K$2:$K$37000,"6*")+SUMIFS('Accounting data'!$G$2:$G$37000,'Accounting data'!$I$2:$I$37000,"8*",'Accounting data'!$J$2:$J$37000,"34*",'Accounting data'!$K$2:$K$37000,"6*")+SUMIFS('Accounting data'!$G$2:$G$37000,'Accounting data'!$I$2:$I$37000,"9*",'Accounting data'!$J$2:$J$37000,"34*",'Accounting data'!$K$2:$K$37000,"6*")</f>
        <v>0</v>
      </c>
    </row>
    <row r="1337" spans="1:5" x14ac:dyDescent="0.25">
      <c r="A1337" s="524" t="s">
        <v>963</v>
      </c>
      <c r="B1337" s="524" t="s">
        <v>965</v>
      </c>
      <c r="C1337" s="524">
        <v>3400</v>
      </c>
      <c r="D1337" s="524">
        <v>6900</v>
      </c>
      <c r="E1337" s="525">
        <f>SUMIFS('Accounting data'!$G$2:$G$37000,'Accounting data'!$I$2:$I$37000,"7*",'Accounting data'!$J$2:$J$37000,"34*",'Accounting data'!$K$2:$K$37000,"69*")+SUMIFS('Accounting data'!$G$2:$G$37000,'Accounting data'!$I$2:$I$37000,"8*",'Accounting data'!$J$2:$J$37000,"34*",'Accounting data'!$K$2:$K$37000,"69*")+SUMIFS('Accounting data'!$G$2:$G$37000,'Accounting data'!$I$2:$I$37000,"9*",'Accounting data'!$J$2:$J$37000,"34*",'Accounting data'!$K$2:$K$37000,"69*")</f>
        <v>0</v>
      </c>
    </row>
    <row r="1338" spans="1:5" x14ac:dyDescent="0.25">
      <c r="A1338" s="524" t="s">
        <v>963</v>
      </c>
      <c r="B1338" s="524" t="s">
        <v>965</v>
      </c>
      <c r="C1338" s="524">
        <v>3400</v>
      </c>
      <c r="D1338" s="533">
        <v>6700</v>
      </c>
      <c r="E1338" s="525">
        <f>SUMIFS('Accounting data'!$G$2:$G$37000,'Accounting data'!$I$2:$I$37000,"7*",'Accounting data'!$J$2:$J$37000,"34*",'Accounting data'!$K$2:$K$37000,"67*")+SUMIFS('Accounting data'!$G$2:$G$37000,'Accounting data'!$I$2:$I$37000,"8*",'Accounting data'!$J$2:$J$37000,"34*",'Accounting data'!$K$2:$K$37000,"67*")+SUMIFS('Accounting data'!$G$2:$G$37000,'Accounting data'!$I$2:$I$37000,"9*",'Accounting data'!$J$2:$J$37000,"34*",'Accounting data'!$K$2:$K$37000,"67*")</f>
        <v>0</v>
      </c>
    </row>
    <row r="1339" spans="1:5" x14ac:dyDescent="0.25">
      <c r="A1339" s="526" t="s">
        <v>964</v>
      </c>
      <c r="B1339" s="524" t="s">
        <v>965</v>
      </c>
      <c r="C1339" s="524">
        <v>3400</v>
      </c>
      <c r="D1339" s="524">
        <v>6000</v>
      </c>
      <c r="E1339" s="525">
        <f>SUMIFS('Accounting data'!$G$2:$G$37000,'Accounting data'!$H$2:$H$37000,"9999*",'Accounting data'!$I$2:$I$37000,"7*",'Accounting data'!$J$2:$J$37000,"34*",'Accounting data'!$K$2:$K$37000,"6*")+SUMIFS('Accounting data'!$G$2:$G$37000,'Accounting data'!$H$2:$H$37000,"9999*",'Accounting data'!$I$2:$I$37000,"8*",'Accounting data'!$J$2:$J$37000,"34*",'Accounting data'!$K$2:$K$37000,"6*")+SUMIFS('Accounting data'!$G$2:$G$37000,'Accounting data'!$H$2:$H$37000,"9999*",'Accounting data'!$I$2:$I$37000,"9*",'Accounting data'!$J$2:$J$37000,"34*",'Accounting data'!$K$2:$K$37000,"6*")</f>
        <v>0</v>
      </c>
    </row>
    <row r="1340" spans="1:5" x14ac:dyDescent="0.25">
      <c r="A1340" s="524"/>
      <c r="B1340" s="524"/>
      <c r="C1340" s="524"/>
      <c r="D1340" s="524"/>
      <c r="E1340" s="525"/>
    </row>
    <row r="1341" spans="1:5" x14ac:dyDescent="0.25">
      <c r="A1341" s="526" t="s">
        <v>964</v>
      </c>
      <c r="B1341" s="524" t="s">
        <v>965</v>
      </c>
      <c r="C1341" s="524">
        <v>3400</v>
      </c>
      <c r="D1341" s="524">
        <v>6900</v>
      </c>
      <c r="E1341" s="525">
        <f>SUMIFS('Accounting data'!$G$2:$G$37000,'Accounting data'!$H$2:$H$37000,"9999*",'Accounting data'!$I$2:$I$37000,"7*",'Accounting data'!$J$2:$J$37000,"34*",'Accounting data'!$K$2:$K$37000,"69*")+SUMIFS('Accounting data'!$G$2:$G$37000,'Accounting data'!$H$2:$H$37000,"9999*",'Accounting data'!$I$2:$I$37000,"8*",'Accounting data'!$J$2:$J$37000,"34*",'Accounting data'!$K$2:$K$37000,"69*")+SUMIFS('Accounting data'!$G$2:$G$37000,'Accounting data'!$H$2:$H$37000,"9999*",'Accounting data'!$I$2:$I$37000,"9*",'Accounting data'!$J$2:$J$37000,"34*",'Accounting data'!$K$2:$K$37000,"69*")</f>
        <v>0</v>
      </c>
    </row>
    <row r="1342" spans="1:5" x14ac:dyDescent="0.25">
      <c r="A1342" s="524"/>
      <c r="B1342" s="524"/>
      <c r="C1342" s="524"/>
      <c r="D1342" s="524"/>
      <c r="E1342" s="525"/>
    </row>
    <row r="1343" spans="1:5" x14ac:dyDescent="0.25">
      <c r="A1343" s="526" t="s">
        <v>964</v>
      </c>
      <c r="B1343" s="524" t="s">
        <v>965</v>
      </c>
      <c r="C1343" s="524">
        <v>3400</v>
      </c>
      <c r="D1343" s="533">
        <v>6700</v>
      </c>
      <c r="E1343" s="525">
        <f>SUMIFS('Accounting data'!$G$2:$G$37000,'Accounting data'!$H$2:$H$37000,"9999*",'Accounting data'!$I$2:$I$37000,"7*",'Accounting data'!$J$2:$J$37000,"34*",'Accounting data'!$K$2:$K$37000,"67*")+SUMIFS('Accounting data'!$G$2:$G$37000,'Accounting data'!$H$2:$H$37000,"9999*",'Accounting data'!$I$2:$I$37000,"8*",'Accounting data'!$J$2:$J$37000,"34*",'Accounting data'!$K$2:$K$37000,"67*")+SUMIFS('Accounting data'!$G$2:$G$37000,'Accounting data'!$H$2:$H$37000,"9999*",'Accounting data'!$I$2:$I$37000,"9*",'Accounting data'!$J$2:$J$37000,"34*",'Accounting data'!$K$2:$K$37000,"67*")</f>
        <v>0</v>
      </c>
    </row>
    <row r="1346" spans="1:5" x14ac:dyDescent="0.25">
      <c r="A1346" s="527" t="s">
        <v>1070</v>
      </c>
      <c r="B1346" s="527"/>
      <c r="C1346" s="527"/>
      <c r="D1346" s="527"/>
      <c r="E1346" s="529">
        <f>(E1336-E1337-E1338)-((E1339+E1340)-(E1341+E1342))-(E1343+E1344+E1345)</f>
        <v>0</v>
      </c>
    </row>
    <row r="1347" spans="1:5" x14ac:dyDescent="0.25">
      <c r="A1347" s="524" t="s">
        <v>963</v>
      </c>
      <c r="B1347" s="524" t="s">
        <v>965</v>
      </c>
      <c r="C1347" s="524">
        <v>4000</v>
      </c>
      <c r="D1347" s="524">
        <v>6000</v>
      </c>
      <c r="E1347" s="525">
        <f>SUMIFS('Accounting data'!$G$2:$G$37000,'Accounting data'!$I$2:$I$37000,"7*",'Accounting data'!$J$2:$J$37000,"4*",'Accounting data'!$K$2:$K$37000,"6*")+SUMIFS('Accounting data'!$G$2:$G$37000,'Accounting data'!$I$2:$I$37000,"8*",'Accounting data'!$J$2:$J$37000,"4*",'Accounting data'!$K$2:$K$37000,"6*")+SUMIFS('Accounting data'!$G$2:$G$37000,'Accounting data'!$I$2:$I$37000,"9*",'Accounting data'!$J$2:$J$37000,"4*",'Accounting data'!$K$2:$K$37000,"6*")</f>
        <v>0</v>
      </c>
    </row>
    <row r="1348" spans="1:5" x14ac:dyDescent="0.25">
      <c r="A1348" s="524" t="s">
        <v>963</v>
      </c>
      <c r="B1348" s="524" t="s">
        <v>965</v>
      </c>
      <c r="C1348" s="524">
        <v>4000</v>
      </c>
      <c r="D1348" s="524">
        <v>6900</v>
      </c>
      <c r="E1348" s="525">
        <f>SUMIFS('Accounting data'!$G$2:$G$37000,'Accounting data'!$I$2:$I$37000,"7*",'Accounting data'!$J$2:$J$37000,"4*",'Accounting data'!$K$2:$K$37000,"69*")+SUMIFS('Accounting data'!$G$2:$G$37000,'Accounting data'!$I$2:$I$37000,"8*",'Accounting data'!$J$2:$J$37000,"4*",'Accounting data'!$K$2:$K$37000,"69*")+SUMIFS('Accounting data'!$G$2:$G$37000,'Accounting data'!$I$2:$I$37000,"9*",'Accounting data'!$J$2:$J$37000,"4*",'Accounting data'!$K$2:$K$37000,"69*")</f>
        <v>0</v>
      </c>
    </row>
    <row r="1349" spans="1:5" x14ac:dyDescent="0.25">
      <c r="A1349" s="524" t="s">
        <v>963</v>
      </c>
      <c r="B1349" s="524" t="s">
        <v>965</v>
      </c>
      <c r="C1349" s="524">
        <v>4000</v>
      </c>
      <c r="D1349" s="533">
        <v>6700</v>
      </c>
      <c r="E1349" s="525">
        <f>SUMIFS('Accounting data'!$G$2:$G$37000,'Accounting data'!$I$2:$I$37000,"7*",'Accounting data'!$J$2:$J$37000,"4*",'Accounting data'!$K$2:$K$37000,"67*")+SUMIFS('Accounting data'!$G$2:$G$37000,'Accounting data'!$I$2:$I$37000,"8*",'Accounting data'!$J$2:$J$37000,"4*",'Accounting data'!$K$2:$K$37000,"67*")+SUMIFS('Accounting data'!$G$2:$G$37000,'Accounting data'!$I$2:$I$37000,"9*",'Accounting data'!$J$2:$J$37000,"4*",'Accounting data'!$K$2:$K$37000,"67*")</f>
        <v>0</v>
      </c>
    </row>
    <row r="1350" spans="1:5" x14ac:dyDescent="0.25">
      <c r="A1350" s="526" t="s">
        <v>964</v>
      </c>
      <c r="B1350" s="524" t="s">
        <v>965</v>
      </c>
      <c r="C1350" s="524">
        <v>4000</v>
      </c>
      <c r="D1350" s="524">
        <v>6000</v>
      </c>
      <c r="E1350" s="525">
        <f>SUMIFS('Accounting data'!$G$2:$G$37000,'Accounting data'!$H$2:$H$37000,"9999*",'Accounting data'!$I$2:$I$37000,"7*",'Accounting data'!$J$2:$J$37000,"4*",'Accounting data'!$K$2:$K$37000,"6*")+SUMIFS('Accounting data'!$G$2:$G$37000,'Accounting data'!$H$2:$H$37000,"9999*",'Accounting data'!$I$2:$I$37000,"8*",'Accounting data'!$J$2:$J$37000,"4*",'Accounting data'!$K$2:$K$37000,"6*")+SUMIFS('Accounting data'!$G$2:$G$37000,'Accounting data'!$H$2:$H$37000,"9999*",'Accounting data'!$I$2:$I$37000,"9*",'Accounting data'!$J$2:$J$37000,"4*",'Accounting data'!$K$2:$K$37000,"6*")</f>
        <v>0</v>
      </c>
    </row>
    <row r="1351" spans="1:5" x14ac:dyDescent="0.25">
      <c r="A1351" s="524"/>
      <c r="B1351" s="524"/>
      <c r="C1351" s="524"/>
      <c r="D1351" s="524"/>
      <c r="E1351" s="525"/>
    </row>
    <row r="1352" spans="1:5" x14ac:dyDescent="0.25">
      <c r="A1352" s="526" t="s">
        <v>964</v>
      </c>
      <c r="B1352" s="524" t="s">
        <v>965</v>
      </c>
      <c r="C1352" s="524">
        <v>4000</v>
      </c>
      <c r="D1352" s="524">
        <v>6900</v>
      </c>
      <c r="E1352" s="525">
        <f>SUMIFS('Accounting data'!$G$2:$G$37000,'Accounting data'!$H$2:$H$37000,"9999*",'Accounting data'!$I$2:$I$37000,"7*",'Accounting data'!$J$2:$J$37000,"4*",'Accounting data'!$K$2:$K$37000,"69*")+SUMIFS('Accounting data'!$G$2:$G$37000,'Accounting data'!$H$2:$H$37000,"9999*",'Accounting data'!$I$2:$I$37000,"8*",'Accounting data'!$J$2:$J$37000,"4*",'Accounting data'!$K$2:$K$37000,"69*")+SUMIFS('Accounting data'!$G$2:$G$37000,'Accounting data'!$H$2:$H$37000,"9999*",'Accounting data'!$I$2:$I$37000,"9*",'Accounting data'!$J$2:$J$37000,"4*",'Accounting data'!$K$2:$K$37000,"69*")</f>
        <v>0</v>
      </c>
    </row>
    <row r="1353" spans="1:5" x14ac:dyDescent="0.25">
      <c r="A1353" s="524"/>
      <c r="B1353" s="524"/>
      <c r="C1353" s="524"/>
      <c r="D1353" s="524"/>
      <c r="E1353" s="525"/>
    </row>
    <row r="1354" spans="1:5" x14ac:dyDescent="0.25">
      <c r="A1354" s="526" t="s">
        <v>964</v>
      </c>
      <c r="B1354" s="524" t="s">
        <v>965</v>
      </c>
      <c r="C1354" s="524">
        <v>4000</v>
      </c>
      <c r="D1354" s="533">
        <v>6700</v>
      </c>
      <c r="E1354" s="525">
        <f>SUMIFS('Accounting data'!$G$2:$G$37000,'Accounting data'!$H$2:$H$37000,"9999*",'Accounting data'!$I$2:$I$37000,"7*",'Accounting data'!$J$2:$J$37000,"4*",'Accounting data'!$K$2:$K$37000,"67*")+SUMIFS('Accounting data'!$G$2:$G$37000,'Accounting data'!$H$2:$H$37000,"9999*",'Accounting data'!$I$2:$I$37000,"8*",'Accounting data'!$J$2:$J$37000,"4*",'Accounting data'!$K$2:$K$37000,"67*")+SUMIFS('Accounting data'!$G$2:$G$37000,'Accounting data'!$H$2:$H$37000,"9999*",'Accounting data'!$I$2:$I$37000,"9*",'Accounting data'!$J$2:$J$37000,"4*",'Accounting data'!$K$2:$K$37000,"67*")</f>
        <v>0</v>
      </c>
    </row>
    <row r="1355" spans="1:5" x14ac:dyDescent="0.25">
      <c r="A1355" s="526"/>
      <c r="B1355" s="524"/>
      <c r="C1355" s="524"/>
      <c r="D1355" s="533"/>
      <c r="E1355" s="525"/>
    </row>
    <row r="1356" spans="1:5" x14ac:dyDescent="0.25">
      <c r="A1356" s="526"/>
      <c r="B1356" s="524"/>
      <c r="C1356" s="524"/>
      <c r="D1356" s="533"/>
      <c r="E1356" s="525"/>
    </row>
    <row r="1357" spans="1:5" x14ac:dyDescent="0.25">
      <c r="A1357" s="527" t="s">
        <v>1071</v>
      </c>
      <c r="B1357" s="527"/>
      <c r="C1357" s="527"/>
      <c r="D1357" s="527"/>
      <c r="E1357" s="529">
        <f>(E1347-E1348-E1349)-((E1350+E1351)-(E1352+E1353))-(E1354+E1355+E1356)</f>
        <v>0</v>
      </c>
    </row>
    <row r="1358" spans="1:5" x14ac:dyDescent="0.25">
      <c r="A1358" s="524" t="s">
        <v>963</v>
      </c>
      <c r="B1358" s="524" t="s">
        <v>965</v>
      </c>
      <c r="C1358" s="524">
        <v>5000</v>
      </c>
      <c r="D1358" s="524">
        <v>6000</v>
      </c>
      <c r="E1358" s="525">
        <f>SUMIFS('Accounting data'!$G$2:$G$37000,'Accounting data'!$I$2:$I$37000,"7*",'Accounting data'!$J$2:$J$37000,"5*",'Accounting data'!$K$2:$K$37000,"6*")+SUMIFS('Accounting data'!$G$2:$G$37000,'Accounting data'!$I$2:$I$37000,"8*",'Accounting data'!$J$2:$J$37000,"5*",'Accounting data'!$K$2:$K$37000,"6*")+SUMIFS('Accounting data'!$G$2:$G$37000,'Accounting data'!$I$2:$I$37000,"9*",'Accounting data'!$J$2:$J$37000,"5*",'Accounting data'!$K$2:$K$37000,"6*")</f>
        <v>0</v>
      </c>
    </row>
    <row r="1359" spans="1:5" x14ac:dyDescent="0.25">
      <c r="A1359" s="524" t="s">
        <v>963</v>
      </c>
      <c r="B1359" s="524" t="s">
        <v>965</v>
      </c>
      <c r="C1359" s="524">
        <v>5000</v>
      </c>
      <c r="D1359" s="524">
        <v>6900</v>
      </c>
      <c r="E1359" s="525">
        <f>SUMIFS('Accounting data'!$G$2:$G$37000,'Accounting data'!$I$2:$I$37000,"7*",'Accounting data'!$J$2:$J$37000,"5*",'Accounting data'!$K$2:$K$37000,"69*")+SUMIFS('Accounting data'!$G$2:$G$37000,'Accounting data'!$I$2:$I$37000,"8*",'Accounting data'!$J$2:$J$37000,"5*",'Accounting data'!$K$2:$K$37000,"69*")+SUMIFS('Accounting data'!$G$2:$G$37000,'Accounting data'!$I$2:$I$37000,"9*",'Accounting data'!$J$2:$J$37000,"5*",'Accounting data'!$K$2:$K$37000,"69*")</f>
        <v>0</v>
      </c>
    </row>
    <row r="1360" spans="1:5" x14ac:dyDescent="0.25">
      <c r="A1360" s="524" t="s">
        <v>963</v>
      </c>
      <c r="B1360" s="524" t="s">
        <v>965</v>
      </c>
      <c r="C1360" s="524">
        <v>5000</v>
      </c>
      <c r="D1360" s="533">
        <v>6700</v>
      </c>
      <c r="E1360" s="525">
        <f>SUMIFS('Accounting data'!$G$2:$G$37000,'Accounting data'!$I$2:$I$37000,"7*",'Accounting data'!$J$2:$J$37000,"5*",'Accounting data'!$K$2:$K$37000,"67*")+SUMIFS('Accounting data'!$G$2:$G$37000,'Accounting data'!$I$2:$I$37000,"8*",'Accounting data'!$J$2:$J$37000,"5*",'Accounting data'!$K$2:$K$37000,"67*")+SUMIFS('Accounting data'!$G$2:$G$37000,'Accounting data'!$I$2:$I$37000,"9*",'Accounting data'!$J$2:$J$37000,"5*",'Accounting data'!$K$2:$K$37000,"67*")</f>
        <v>0</v>
      </c>
    </row>
    <row r="1361" spans="1:5" x14ac:dyDescent="0.25">
      <c r="A1361" s="526" t="s">
        <v>964</v>
      </c>
      <c r="B1361" s="524" t="s">
        <v>965</v>
      </c>
      <c r="C1361" s="524">
        <v>5000</v>
      </c>
      <c r="D1361" s="524">
        <v>6000</v>
      </c>
      <c r="E1361" s="525">
        <f>SUMIFS('Accounting data'!$G$2:$G$37000,'Accounting data'!$H$2:$H$37000,"9999*",'Accounting data'!$I$2:$I$37000,"7*",'Accounting data'!$J$2:$J$37000,"5*",'Accounting data'!$K$2:$K$37000,"6*")+SUMIFS('Accounting data'!$G$2:$G$37000,'Accounting data'!$H$2:$H$37000,"9999*",'Accounting data'!$I$2:$I$37000,"8*",'Accounting data'!$J$2:$J$37000,"5*",'Accounting data'!$K$2:$K$37000,"6*")+SUMIFS('Accounting data'!$G$2:$G$37000,'Accounting data'!$H$2:$H$37000,"9999*",'Accounting data'!$I$2:$I$37000,"9*",'Accounting data'!$J$2:$J$37000,"5*",'Accounting data'!$K$2:$K$37000,"6*")</f>
        <v>0</v>
      </c>
    </row>
    <row r="1362" spans="1:5" x14ac:dyDescent="0.25">
      <c r="A1362" s="524"/>
      <c r="B1362" s="524"/>
      <c r="C1362" s="524"/>
      <c r="D1362" s="524"/>
      <c r="E1362" s="525"/>
    </row>
    <row r="1363" spans="1:5" x14ac:dyDescent="0.25">
      <c r="A1363" s="526" t="s">
        <v>964</v>
      </c>
      <c r="B1363" s="524" t="s">
        <v>965</v>
      </c>
      <c r="C1363" s="524">
        <v>5000</v>
      </c>
      <c r="D1363" s="524">
        <v>6900</v>
      </c>
      <c r="E1363" s="525">
        <f>SUMIFS('Accounting data'!$G$2:$G$37000,'Accounting data'!$H$2:$H$37000,"9999*",'Accounting data'!$I$2:$I$37000,"7*",'Accounting data'!$J$2:$J$37000,"5*",'Accounting data'!$K$2:$K$37000,"69*")+SUMIFS('Accounting data'!$G$2:$G$37000,'Accounting data'!$H$2:$H$37000,"9999*",'Accounting data'!$I$2:$I$37000,"8*",'Accounting data'!$J$2:$J$37000,"5*",'Accounting data'!$K$2:$K$37000,"69*")+SUMIFS('Accounting data'!$G$2:$G$37000,'Accounting data'!$H$2:$H$37000,"9999*",'Accounting data'!$I$2:$I$37000,"9*",'Accounting data'!$J$2:$J$37000,"5*",'Accounting data'!$K$2:$K$37000,"69*")</f>
        <v>0</v>
      </c>
    </row>
    <row r="1364" spans="1:5" x14ac:dyDescent="0.25">
      <c r="A1364" s="524"/>
      <c r="B1364" s="524"/>
      <c r="C1364" s="524"/>
      <c r="D1364" s="524"/>
      <c r="E1364" s="525"/>
    </row>
    <row r="1365" spans="1:5" x14ac:dyDescent="0.25">
      <c r="A1365" s="526" t="s">
        <v>964</v>
      </c>
      <c r="B1365" s="524" t="s">
        <v>965</v>
      </c>
      <c r="C1365" s="524">
        <v>5000</v>
      </c>
      <c r="D1365" s="533">
        <v>6700</v>
      </c>
      <c r="E1365" s="525">
        <f>SUMIFS('Accounting data'!$G$2:$G$37000,'Accounting data'!$H$2:$H$37000,"9999*",'Accounting data'!$I$2:$I$37000,"7*",'Accounting data'!$J$2:$J$37000,"5*",'Accounting data'!$K$2:$K$37000,"67*")+SUMIFS('Accounting data'!$G$2:$G$37000,'Accounting data'!$H$2:$H$37000,"9999*",'Accounting data'!$I$2:$I$37000,"8*",'Accounting data'!$J$2:$J$37000,"5*",'Accounting data'!$K$2:$K$37000,"67*")+SUMIFS('Accounting data'!$G$2:$G$37000,'Accounting data'!$H$2:$H$37000,"9999*",'Accounting data'!$I$2:$I$37000,"9*",'Accounting data'!$J$2:$J$37000,"5*",'Accounting data'!$K$2:$K$37000,"67*")</f>
        <v>0</v>
      </c>
    </row>
    <row r="1366" spans="1:5" x14ac:dyDescent="0.25">
      <c r="A1366" s="526"/>
      <c r="B1366" s="524"/>
      <c r="C1366" s="524"/>
      <c r="D1366" s="533"/>
      <c r="E1366" s="525"/>
    </row>
    <row r="1367" spans="1:5" x14ac:dyDescent="0.25">
      <c r="A1367" s="526"/>
      <c r="B1367" s="524"/>
      <c r="C1367" s="524"/>
      <c r="D1367" s="533"/>
      <c r="E1367" s="525"/>
    </row>
    <row r="1368" spans="1:5" x14ac:dyDescent="0.25">
      <c r="A1368" s="527" t="s">
        <v>1072</v>
      </c>
      <c r="B1368" s="527"/>
      <c r="C1368" s="527"/>
      <c r="D1368" s="527"/>
      <c r="E1368" s="529">
        <f>(E1358-E1359-E1360)-((E1361+E1362)-(E1363+E1364))-(E1365+E1366+E1367)</f>
        <v>0</v>
      </c>
    </row>
    <row r="1369" spans="1:5" x14ac:dyDescent="0.25">
      <c r="A1369" s="530" t="s">
        <v>1073</v>
      </c>
      <c r="B1369" s="530"/>
      <c r="C1369" s="530"/>
      <c r="D1369" s="530"/>
      <c r="E1369" s="534">
        <f>E1225+E1236+E1247+E1258+E1269+E1280+E1291+E1302+E1313+E1324+E1335+E1346</f>
        <v>0</v>
      </c>
    </row>
    <row r="1370" spans="1:5" x14ac:dyDescent="0.25">
      <c r="A1370" s="526" t="s">
        <v>979</v>
      </c>
      <c r="B1370" s="526">
        <v>700</v>
      </c>
      <c r="C1370" s="533">
        <v>1000</v>
      </c>
      <c r="D1370" s="524">
        <v>6000</v>
      </c>
      <c r="E1370" s="525">
        <f>SUMIFS('Accounting data'!$G$2:$G$37000,'Accounting data'!$H$2:$H$37000,"11*",'Accounting data'!$I$2:$I$37000,"7*",'Accounting data'!$J$2:$J$37000,"1*",'Accounting data'!$K$2:$K$37000,"6*")+SUMIFS('Accounting data'!$G$2:$G$37000,'Accounting data'!$H$2:$H$37000,"12*",'Accounting data'!$I$2:$I$37000,"7*",'Accounting data'!$J$2:$J$37000,"1*",'Accounting data'!$K$2:$K$37000,"6*")+SUMIFS('Accounting data'!$G$2:$G$37000,'Accounting data'!$H$2:$H$37000,"13*",'Accounting data'!$I$2:$I$37000,"7*",'Accounting data'!$J$2:$J$37000,"1*",'Accounting data'!$K$2:$K$37000,"6*")</f>
        <v>0</v>
      </c>
    </row>
    <row r="1371" spans="1:5" x14ac:dyDescent="0.25">
      <c r="A1371" s="526" t="s">
        <v>979</v>
      </c>
      <c r="B1371" s="526">
        <v>800</v>
      </c>
      <c r="C1371" s="533">
        <v>1000</v>
      </c>
      <c r="D1371" s="524">
        <v>6000</v>
      </c>
      <c r="E1371" s="525">
        <f>SUMIFS('Accounting data'!$G$2:$G$37000,'Accounting data'!$H$2:$H$37000,"11*",'Accounting data'!$I$2:$I$37000,"8*",'Accounting data'!$J$2:$J$37000,"1*",'Accounting data'!$K$2:$K$37000,"6*")+SUMIFS('Accounting data'!$G$2:$G$37000,'Accounting data'!$H$2:$H$37000,"12*",'Accounting data'!$I$2:$I$37000,"8*",'Accounting data'!$J$2:$J$37000,"1*",'Accounting data'!$K$2:$K$37000,"6*")+SUMIFS('Accounting data'!$G$2:$G$37000,'Accounting data'!$H$2:$H$37000,"13*",'Accounting data'!$I$2:$I$37000,"8*",'Accounting data'!$J$2:$J$37000,"1*",'Accounting data'!$K$2:$K$37000,"6*")</f>
        <v>0</v>
      </c>
    </row>
    <row r="1372" spans="1:5" x14ac:dyDescent="0.25">
      <c r="A1372" s="526" t="s">
        <v>979</v>
      </c>
      <c r="B1372" s="526">
        <v>900</v>
      </c>
      <c r="C1372" s="533">
        <v>1000</v>
      </c>
      <c r="D1372" s="524">
        <v>6000</v>
      </c>
      <c r="E1372" s="525">
        <f>SUMIFS('Accounting data'!$G$2:$G$37000,'Accounting data'!$H$2:$H$37000,"11*",'Accounting data'!$I$2:$I$37000,"9*",'Accounting data'!$J$2:$J$37000,"1*",'Accounting data'!$K$2:$K$37000,"6*")+SUMIFS('Accounting data'!$G$2:$G$37000,'Accounting data'!$H$2:$H$37000,"12*",'Accounting data'!$I$2:$I$37000,"9*",'Accounting data'!$J$2:$J$37000,"1*",'Accounting data'!$K$2:$K$37000,"6*")+SUMIFS('Accounting data'!$G$2:$G$37000,'Accounting data'!$H$2:$H$37000,"13*",'Accounting data'!$I$2:$I$37000,"9*",'Accounting data'!$J$2:$J$37000,"1*",'Accounting data'!$K$2:$K$37000,"6*")</f>
        <v>0</v>
      </c>
    </row>
    <row r="1373" spans="1:5" x14ac:dyDescent="0.25">
      <c r="A1373" s="526" t="s">
        <v>979</v>
      </c>
      <c r="B1373" s="526">
        <v>700</v>
      </c>
      <c r="C1373" s="533">
        <v>2000</v>
      </c>
      <c r="D1373" s="524">
        <v>6000</v>
      </c>
      <c r="E1373" s="525">
        <f>SUMIFS('Accounting data'!$G$2:$G$37000,'Accounting data'!$H$2:$H$37000,"11*",'Accounting data'!$I$2:$I$37000,"7*",'Accounting data'!$J$2:$J$37000,"2*",'Accounting data'!$K$2:$K$37000,"6*")+SUMIFS('Accounting data'!$G$2:$G$37000,'Accounting data'!$H$2:$H$37000,"12*",'Accounting data'!$I$2:$I$37000,"7*",'Accounting data'!$J$2:$J$37000,"2*",'Accounting data'!$K$2:$K$37000,"6*")+SUMIFS('Accounting data'!$G$2:$G$37000,'Accounting data'!$H$2:$H$37000,"13*",'Accounting data'!$I$2:$I$37000,"7*",'Accounting data'!$J$2:$J$37000,"2*",'Accounting data'!$K$2:$K$37000,"6*")</f>
        <v>0</v>
      </c>
    </row>
    <row r="1374" spans="1:5" x14ac:dyDescent="0.25">
      <c r="A1374" s="526" t="s">
        <v>979</v>
      </c>
      <c r="B1374" s="526">
        <v>800</v>
      </c>
      <c r="C1374" s="533">
        <v>2000</v>
      </c>
      <c r="D1374" s="524">
        <v>6000</v>
      </c>
      <c r="E1374" s="525">
        <f>SUMIFS('Accounting data'!$G$2:$G$37000,'Accounting data'!$H$2:$H$37000,"11*",'Accounting data'!$I$2:$I$37000,"8*",'Accounting data'!$J$2:$J$37000,"2*",'Accounting data'!$K$2:$K$37000,"6*")+SUMIFS('Accounting data'!$G$2:$G$37000,'Accounting data'!$H$2:$H$37000,"12*",'Accounting data'!$I$2:$I$37000,"8*",'Accounting data'!$J$2:$J$37000,"2*",'Accounting data'!$K$2:$K$37000,"6*")+SUMIFS('Accounting data'!$G$2:$G$37000,'Accounting data'!$H$2:$H$37000,"13*",'Accounting data'!$I$2:$I$37000,"8*",'Accounting data'!$J$2:$J$37000,"2*",'Accounting data'!$K$2:$K$37000,"6*")</f>
        <v>0</v>
      </c>
    </row>
    <row r="1375" spans="1:5" x14ac:dyDescent="0.25">
      <c r="A1375" s="526" t="s">
        <v>979</v>
      </c>
      <c r="B1375" s="526">
        <v>900</v>
      </c>
      <c r="C1375" s="533">
        <v>2000</v>
      </c>
      <c r="D1375" s="524">
        <v>6000</v>
      </c>
      <c r="E1375" s="525">
        <f>SUMIFS('Accounting data'!$G$2:$G$37000,'Accounting data'!$H$2:$H$37000,"11*",'Accounting data'!$I$2:$I$37000,"9*",'Accounting data'!$J$2:$J$37000,"2*",'Accounting data'!$K$2:$K$37000,"6*")+SUMIFS('Accounting data'!$G$2:$G$37000,'Accounting data'!$H$2:$H$37000,"12*",'Accounting data'!$I$2:$I$37000,"9*",'Accounting data'!$J$2:$J$37000,"2*",'Accounting data'!$K$2:$K$37000,"6*")+SUMIFS('Accounting data'!$G$2:$G$37000,'Accounting data'!$H$2:$H$37000,"13*",'Accounting data'!$I$2:$I$37000,"9*",'Accounting data'!$J$2:$J$37000,"2*",'Accounting data'!$K$2:$K$37000,"6*")</f>
        <v>0</v>
      </c>
    </row>
    <row r="1376" spans="1:5" x14ac:dyDescent="0.25">
      <c r="A1376" s="526" t="s">
        <v>979</v>
      </c>
      <c r="B1376" s="526">
        <v>700</v>
      </c>
      <c r="C1376" s="533">
        <v>3000</v>
      </c>
      <c r="D1376" s="524">
        <v>6000</v>
      </c>
      <c r="E1376" s="525">
        <f>SUMIFS('Accounting data'!$G$2:$G$37000,'Accounting data'!$H$2:$H$37000,"11*",'Accounting data'!$I$2:$I$37000,"7*",'Accounting data'!$J$2:$J$37000,"3*",'Accounting data'!$K$2:$K$37000,"6*")+SUMIFS('Accounting data'!$G$2:$G$37000,'Accounting data'!$H$2:$H$37000,"12*",'Accounting data'!$I$2:$I$37000,"7*",'Accounting data'!$J$2:$J$37000,"3*",'Accounting data'!$K$2:$K$37000,"6*")+SUMIFS('Accounting data'!$G$2:$G$37000,'Accounting data'!$H$2:$H$37000,"13*",'Accounting data'!$I$2:$I$37000,"7*",'Accounting data'!$J$2:$J$37000,"3*",'Accounting data'!$K$2:$K$37000,"6*")</f>
        <v>0</v>
      </c>
    </row>
    <row r="1377" spans="1:5" x14ac:dyDescent="0.25">
      <c r="A1377" s="526" t="s">
        <v>979</v>
      </c>
      <c r="B1377" s="526">
        <v>800</v>
      </c>
      <c r="C1377" s="533">
        <v>3000</v>
      </c>
      <c r="D1377" s="524">
        <v>6000</v>
      </c>
      <c r="E1377" s="525">
        <f>SUMIFS('Accounting data'!$G$2:$G$37000,'Accounting data'!$H$2:$H$37000,"11*",'Accounting data'!$I$2:$I$37000,"8*",'Accounting data'!$J$2:$J$37000,"3*",'Accounting data'!$K$2:$K$37000,"6*")+SUMIFS('Accounting data'!$G$2:$G$37000,'Accounting data'!$H$2:$H$37000,"12*",'Accounting data'!$I$2:$I$37000,"8*",'Accounting data'!$J$2:$J$37000,"3*",'Accounting data'!$K$2:$K$37000,"6*")+SUMIFS('Accounting data'!$G$2:$G$37000,'Accounting data'!$H$2:$H$37000,"13*",'Accounting data'!$I$2:$I$37000,"8*",'Accounting data'!$J$2:$J$37000,"3*",'Accounting data'!$K$2:$K$37000,"6*")</f>
        <v>0</v>
      </c>
    </row>
    <row r="1378" spans="1:5" x14ac:dyDescent="0.25">
      <c r="A1378" s="526" t="s">
        <v>979</v>
      </c>
      <c r="B1378" s="526">
        <v>900</v>
      </c>
      <c r="C1378" s="533">
        <v>3000</v>
      </c>
      <c r="D1378" s="524">
        <v>6000</v>
      </c>
      <c r="E1378" s="525">
        <f>SUMIFS('Accounting data'!$G$2:$G$37000,'Accounting data'!$H$2:$H$37000,"11*",'Accounting data'!$I$2:$I$37000,"9*",'Accounting data'!$J$2:$J$37000,"3*",'Accounting data'!$K$2:$K$37000,"6*")+SUMIFS('Accounting data'!$G$2:$G$37000,'Accounting data'!$H$2:$H$37000,"12*",'Accounting data'!$I$2:$I$37000,"9*",'Accounting data'!$J$2:$J$37000,"3*",'Accounting data'!$K$2:$K$37000,"6*")+SUMIFS('Accounting data'!$G$2:$G$37000,'Accounting data'!$H$2:$H$37000,"13*",'Accounting data'!$I$2:$I$37000,"9*",'Accounting data'!$J$2:$J$37000,"3*",'Accounting data'!$K$2:$K$37000,"6*")</f>
        <v>0</v>
      </c>
    </row>
    <row r="1379" spans="1:5" x14ac:dyDescent="0.25">
      <c r="A1379" s="526" t="s">
        <v>979</v>
      </c>
      <c r="B1379" s="526">
        <v>700</v>
      </c>
      <c r="C1379" s="533">
        <v>1000</v>
      </c>
      <c r="D1379" s="524">
        <v>6900</v>
      </c>
      <c r="E1379" s="525">
        <f>SUMIFS('Accounting data'!$G$2:$G$37000,'Accounting data'!$H$2:$H$37000,"11*",'Accounting data'!$I$2:$I$37000,"7*",'Accounting data'!$J$2:$J$37000,"1*",'Accounting data'!$K$2:$K$37000,"69*")+SUMIFS('Accounting data'!$G$2:$G$37000,'Accounting data'!$H$2:$H$37000,"12*",'Accounting data'!$I$2:$I$37000,"7*",'Accounting data'!$J$2:$J$37000,"1*",'Accounting data'!$K$2:$K$37000,"69*")+SUMIFS('Accounting data'!$G$2:$G$37000,'Accounting data'!$H$2:$H$37000,"13*",'Accounting data'!$I$2:$I$37000,"7*",'Accounting data'!$J$2:$J$37000,"1*",'Accounting data'!$K$2:$K$37000,"69*")</f>
        <v>0</v>
      </c>
    </row>
    <row r="1380" spans="1:5" x14ac:dyDescent="0.25">
      <c r="A1380" s="526" t="s">
        <v>979</v>
      </c>
      <c r="B1380" s="526">
        <v>800</v>
      </c>
      <c r="C1380" s="533">
        <v>1000</v>
      </c>
      <c r="D1380" s="524">
        <v>6900</v>
      </c>
      <c r="E1380" s="525">
        <f>SUMIFS('Accounting data'!$G$2:$G$37000,'Accounting data'!$H$2:$H$37000,"11*",'Accounting data'!$I$2:$I$37000,"8*",'Accounting data'!$J$2:$J$37000,"1*",'Accounting data'!$K$2:$K$37000,"69*")+SUMIFS('Accounting data'!$G$2:$G$37000,'Accounting data'!$H$2:$H$37000,"12*",'Accounting data'!$I$2:$I$37000,"8*",'Accounting data'!$J$2:$J$37000,"1*",'Accounting data'!$K$2:$K$37000,"69*")+SUMIFS('Accounting data'!$G$2:$G$37000,'Accounting data'!$H$2:$H$37000,"13*",'Accounting data'!$I$2:$I$37000,"8*",'Accounting data'!$J$2:$J$37000,"1*",'Accounting data'!$K$2:$K$37000,"69*")</f>
        <v>0</v>
      </c>
    </row>
    <row r="1381" spans="1:5" x14ac:dyDescent="0.25">
      <c r="A1381" s="526" t="s">
        <v>979</v>
      </c>
      <c r="B1381" s="526">
        <v>900</v>
      </c>
      <c r="C1381" s="533">
        <v>1000</v>
      </c>
      <c r="D1381" s="524">
        <v>6900</v>
      </c>
      <c r="E1381" s="525">
        <f>SUMIFS('Accounting data'!$G$2:$G$37000,'Accounting data'!$H$2:$H$37000,"11*",'Accounting data'!$I$2:$I$37000,"9*",'Accounting data'!$J$2:$J$37000,"1*",'Accounting data'!$K$2:$K$37000,"69*")+SUMIFS('Accounting data'!$G$2:$G$37000,'Accounting data'!$H$2:$H$37000,"12*",'Accounting data'!$I$2:$I$37000,"9*",'Accounting data'!$J$2:$J$37000,"1*",'Accounting data'!$K$2:$K$37000,"69*")+SUMIFS('Accounting data'!$G$2:$G$37000,'Accounting data'!$H$2:$H$37000,"13*",'Accounting data'!$I$2:$I$37000,"9*",'Accounting data'!$J$2:$J$37000,"1*",'Accounting data'!$K$2:$K$37000,"69*")</f>
        <v>0</v>
      </c>
    </row>
    <row r="1382" spans="1:5" x14ac:dyDescent="0.25">
      <c r="A1382" s="526" t="s">
        <v>979</v>
      </c>
      <c r="B1382" s="526">
        <v>700</v>
      </c>
      <c r="C1382" s="533">
        <v>2000</v>
      </c>
      <c r="D1382" s="524">
        <v>6900</v>
      </c>
      <c r="E1382" s="525">
        <f>SUMIFS('Accounting data'!$G$2:$G$37000,'Accounting data'!$H$2:$H$37000,"11*",'Accounting data'!$I$2:$I$37000,"7*",'Accounting data'!$J$2:$J$37000,"2*",'Accounting data'!$K$2:$K$37000,"69*")+SUMIFS('Accounting data'!$G$2:$G$37000,'Accounting data'!$H$2:$H$37000,"12*",'Accounting data'!$I$2:$I$37000,"7*",'Accounting data'!$J$2:$J$37000,"2*",'Accounting data'!$K$2:$K$37000,"69*")+SUMIFS('Accounting data'!$G$2:$G$37000,'Accounting data'!$H$2:$H$37000,"13*",'Accounting data'!$I$2:$I$37000,"7*",'Accounting data'!$J$2:$J$37000,"2*",'Accounting data'!$K$2:$K$37000,"69*")</f>
        <v>0</v>
      </c>
    </row>
    <row r="1383" spans="1:5" x14ac:dyDescent="0.25">
      <c r="A1383" s="526" t="s">
        <v>979</v>
      </c>
      <c r="B1383" s="526">
        <v>800</v>
      </c>
      <c r="C1383" s="533">
        <v>2000</v>
      </c>
      <c r="D1383" s="524">
        <v>6900</v>
      </c>
      <c r="E1383" s="525">
        <f>SUMIFS('Accounting data'!$G$2:$G$37000,'Accounting data'!$H$2:$H$37000,"11*",'Accounting data'!$I$2:$I$37000,"8*",'Accounting data'!$J$2:$J$37000,"2*",'Accounting data'!$K$2:$K$37000,"69*")+SUMIFS('Accounting data'!$G$2:$G$37000,'Accounting data'!$H$2:$H$37000,"12*",'Accounting data'!$I$2:$I$37000,"8*",'Accounting data'!$J$2:$J$37000,"2*",'Accounting data'!$K$2:$K$37000,"69*")+SUMIFS('Accounting data'!$G$2:$G$37000,'Accounting data'!$H$2:$H$37000,"13*",'Accounting data'!$I$2:$I$37000,"8*",'Accounting data'!$J$2:$J$37000,"2*",'Accounting data'!$K$2:$K$37000,"69*")</f>
        <v>0</v>
      </c>
    </row>
    <row r="1384" spans="1:5" x14ac:dyDescent="0.25">
      <c r="A1384" s="526" t="s">
        <v>979</v>
      </c>
      <c r="B1384" s="526">
        <v>900</v>
      </c>
      <c r="C1384" s="533">
        <v>2000</v>
      </c>
      <c r="D1384" s="524">
        <v>6900</v>
      </c>
      <c r="E1384" s="525">
        <f>SUMIFS('Accounting data'!$G$2:$G$37000,'Accounting data'!$H$2:$H$37000,"11*",'Accounting data'!$I$2:$I$37000,"9*",'Accounting data'!$J$2:$J$37000,"2*",'Accounting data'!$K$2:$K$37000,"69*")+SUMIFS('Accounting data'!$G$2:$G$37000,'Accounting data'!$H$2:$H$37000,"12*",'Accounting data'!$I$2:$I$37000,"9*",'Accounting data'!$J$2:$J$37000,"2*",'Accounting data'!$K$2:$K$37000,"69*")+SUMIFS('Accounting data'!$G$2:$G$37000,'Accounting data'!$H$2:$H$37000,"13*",'Accounting data'!$I$2:$I$37000,"9*",'Accounting data'!$J$2:$J$37000,"2*",'Accounting data'!$K$2:$K$37000,"69*")</f>
        <v>0</v>
      </c>
    </row>
    <row r="1385" spans="1:5" x14ac:dyDescent="0.25">
      <c r="A1385" s="526" t="s">
        <v>979</v>
      </c>
      <c r="B1385" s="526">
        <v>700</v>
      </c>
      <c r="C1385" s="533">
        <v>3000</v>
      </c>
      <c r="D1385" s="524">
        <v>6900</v>
      </c>
      <c r="E1385" s="525">
        <f>SUMIFS('Accounting data'!$G$2:$G$37000,'Accounting data'!$H$2:$H$37000,"11*",'Accounting data'!$I$2:$I$37000,"7*",'Accounting data'!$J$2:$J$37000,"3*",'Accounting data'!$K$2:$K$37000,"69*")+SUMIFS('Accounting data'!$G$2:$G$37000,'Accounting data'!$H$2:$H$37000,"12*",'Accounting data'!$I$2:$I$37000,"7*",'Accounting data'!$J$2:$J$37000,"3*",'Accounting data'!$K$2:$K$37000,"69*")+SUMIFS('Accounting data'!$G$2:$G$37000,'Accounting data'!$H$2:$H$37000,"13*",'Accounting data'!$I$2:$I$37000,"7*",'Accounting data'!$J$2:$J$37000,"3*",'Accounting data'!$K$2:$K$37000,"69*")</f>
        <v>0</v>
      </c>
    </row>
    <row r="1386" spans="1:5" x14ac:dyDescent="0.25">
      <c r="A1386" s="526" t="s">
        <v>979</v>
      </c>
      <c r="B1386" s="526">
        <v>800</v>
      </c>
      <c r="C1386" s="533">
        <v>3000</v>
      </c>
      <c r="D1386" s="524">
        <v>6900</v>
      </c>
      <c r="E1386" s="525">
        <f>SUMIFS('Accounting data'!$G$2:$G$37000,'Accounting data'!$H$2:$H$37000,"11*",'Accounting data'!$I$2:$I$37000,"8*",'Accounting data'!$J$2:$J$37000,"3*",'Accounting data'!$K$2:$K$37000,"69*")+SUMIFS('Accounting data'!$G$2:$G$37000,'Accounting data'!$H$2:$H$37000,"12*",'Accounting data'!$I$2:$I$37000,"8*",'Accounting data'!$J$2:$J$37000,"3*",'Accounting data'!$K$2:$K$37000,"69*")+SUMIFS('Accounting data'!$G$2:$G$37000,'Accounting data'!$H$2:$H$37000,"13*",'Accounting data'!$I$2:$I$37000,"8*",'Accounting data'!$J$2:$J$37000,"3*",'Accounting data'!$K$2:$K$37000,"69*")</f>
        <v>0</v>
      </c>
    </row>
    <row r="1387" spans="1:5" x14ac:dyDescent="0.25">
      <c r="A1387" s="526" t="s">
        <v>979</v>
      </c>
      <c r="B1387" s="526">
        <v>900</v>
      </c>
      <c r="C1387" s="533">
        <v>3000</v>
      </c>
      <c r="D1387" s="524">
        <v>6900</v>
      </c>
      <c r="E1387" s="525">
        <f>SUMIFS('Accounting data'!$G$2:$G$37000,'Accounting data'!$H$2:$H$37000,"11*",'Accounting data'!$I$2:$I$37000,"9*",'Accounting data'!$J$2:$J$37000,"3*",'Accounting data'!$K$2:$K$37000,"69*")+SUMIFS('Accounting data'!$G$2:$G$37000,'Accounting data'!$H$2:$H$37000,"12*",'Accounting data'!$I$2:$I$37000,"9*",'Accounting data'!$J$2:$J$37000,"3*",'Accounting data'!$K$2:$K$37000,"69*")+SUMIFS('Accounting data'!$G$2:$G$37000,'Accounting data'!$H$2:$H$37000,"13*",'Accounting data'!$I$2:$I$37000,"9*",'Accounting data'!$J$2:$J$37000,"3*",'Accounting data'!$K$2:$K$37000,"69*")</f>
        <v>0</v>
      </c>
    </row>
    <row r="1388" spans="1:5" x14ac:dyDescent="0.25">
      <c r="A1388" s="527" t="s">
        <v>1074</v>
      </c>
      <c r="B1388" s="527"/>
      <c r="C1388" s="527"/>
      <c r="D1388" s="527"/>
      <c r="E1388" s="529">
        <f>(E1370+E1371+E1372+E1373+E1374+E1375+E1376+E1377+E1378)-(E1379+E1380+E1381+E1382+E1383+E1384+E1385+E1386+E1387)</f>
        <v>0</v>
      </c>
    </row>
    <row r="1437" spans="1:5" x14ac:dyDescent="0.25">
      <c r="A1437" s="524" t="s">
        <v>1075</v>
      </c>
      <c r="B1437" s="524" t="s">
        <v>963</v>
      </c>
      <c r="C1437" s="524" t="s">
        <v>963</v>
      </c>
      <c r="D1437" s="524">
        <v>6000</v>
      </c>
      <c r="E1437" s="525">
        <f>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f>
        <v>0</v>
      </c>
    </row>
    <row r="1438" spans="1:5" x14ac:dyDescent="0.25">
      <c r="A1438" s="527" t="s">
        <v>1076</v>
      </c>
      <c r="B1438" s="527"/>
      <c r="C1438" s="527"/>
      <c r="D1438" s="527"/>
      <c r="E1438" s="529">
        <f>E1437</f>
        <v>0</v>
      </c>
    </row>
    <row r="1445" spans="1:5" x14ac:dyDescent="0.25">
      <c r="A1445" s="524" t="s">
        <v>963</v>
      </c>
      <c r="B1445" s="524" t="s">
        <v>963</v>
      </c>
      <c r="C1445" s="524">
        <v>5000</v>
      </c>
      <c r="D1445" s="524">
        <v>6850</v>
      </c>
      <c r="E1445" s="525">
        <f>SUMIFS('Accounting data'!$G$2:$G$37000,'Accounting data'!$J$2:$J$37000,"5*",'Accounting data'!$K$2:$K$37000,"685*")</f>
        <v>0</v>
      </c>
    </row>
    <row r="1446" spans="1:5" x14ac:dyDescent="0.25">
      <c r="A1446" s="524" t="s">
        <v>964</v>
      </c>
      <c r="B1446" s="524" t="s">
        <v>963</v>
      </c>
      <c r="C1446" s="524">
        <v>5000</v>
      </c>
      <c r="D1446" s="524">
        <v>6850</v>
      </c>
      <c r="E1446" s="525">
        <f>SUMIFS('Accounting data'!$G$2:$G$37000,'Accounting data'!$H$2:$H$37000,"9999*",'Accounting data'!$J$2:$J$37000,"5*",'Accounting data'!$K$2:$K$37000,"685*")</f>
        <v>0</v>
      </c>
    </row>
    <row r="1447" spans="1:5" x14ac:dyDescent="0.25">
      <c r="A1447" s="524" t="s">
        <v>963</v>
      </c>
      <c r="B1447" s="524" t="s">
        <v>965</v>
      </c>
      <c r="C1447" s="524">
        <v>5000</v>
      </c>
      <c r="D1447" s="524">
        <v>6850</v>
      </c>
      <c r="E1447" s="525">
        <f>SUMIFS('Accounting data'!$G$2:$G$37000,'Accounting data'!$I$2:$I$37000,"7*",'Accounting data'!$J$2:$J$37000,"5*",'Accounting data'!$K$2:$K$37000,"685*")+SUMIFS('Accounting data'!$G$2:$G$37000,'Accounting data'!$I$2:$I$37000,"8*",'Accounting data'!$J$2:$J$37000,"5*",'Accounting data'!$K$2:$K$37000,"685*")+SUMIFS('Accounting data'!$G$2:$G$37000,'Accounting data'!$I$2:$I$37000,"9*",'Accounting data'!$J$2:$J$37000,"5*",'Accounting data'!$K$2:$K$37000,"685*")</f>
        <v>0</v>
      </c>
    </row>
    <row r="1448" spans="1:5" x14ac:dyDescent="0.25">
      <c r="A1448" s="526" t="s">
        <v>964</v>
      </c>
      <c r="B1448" s="524" t="s">
        <v>965</v>
      </c>
      <c r="C1448" s="524">
        <v>5000</v>
      </c>
      <c r="D1448" s="524">
        <v>6850</v>
      </c>
      <c r="E1448" s="525">
        <f>SUMIFS('Accounting data'!$G$2:$G$37000,'Accounting data'!$H$2:$H$37000,"9999*",'Accounting data'!$I$2:$I$37000,"7*",'Accounting data'!$J$2:$J$37000,"5*",'Accounting data'!$K$2:$K$37000,"685*")+SUMIFS('Accounting data'!$G$2:$G$37000,'Accounting data'!$H$2:$H$37000,"9999*",'Accounting data'!$I$2:$I$37000,"8*",'Accounting data'!$J$2:$J$37000,"5*",'Accounting data'!$K$2:$K$37000,"685*")+SUMIFS('Accounting data'!$G$2:$G$37000,'Accounting data'!$H$2:$H$37000,"9999*",'Accounting data'!$I$2:$I$37000,"9*",'Accounting data'!$J$2:$J$37000,"5*",'Accounting data'!$K$2:$K$37000,"685*")</f>
        <v>0</v>
      </c>
    </row>
    <row r="1449" spans="1:5" ht="14.4" x14ac:dyDescent="0.3">
      <c r="A1449" s="527" t="s">
        <v>1077</v>
      </c>
      <c r="B1449" s="527"/>
      <c r="C1449" s="527"/>
      <c r="D1449" s="527"/>
      <c r="E1449" s="528">
        <f>(E1445-E1446-E1447)+E1448</f>
        <v>0</v>
      </c>
    </row>
    <row r="1450" spans="1:5" x14ac:dyDescent="0.25">
      <c r="A1450" s="524" t="s">
        <v>963</v>
      </c>
      <c r="B1450" s="524" t="s">
        <v>963</v>
      </c>
      <c r="C1450" s="524">
        <v>1000</v>
      </c>
      <c r="D1450" s="524">
        <v>6800</v>
      </c>
      <c r="E1450" s="525">
        <f t="array" ref="E1450">SUMIFS('Accounting data'!$G$2:$G$37000,'Accounting data'!$J$2:$J$37000,"1*",'Accounting data'!$K$2:$K$37000,"68*")</f>
        <v>0</v>
      </c>
    </row>
    <row r="1451" spans="1:5" x14ac:dyDescent="0.25">
      <c r="A1451" s="524" t="s">
        <v>964</v>
      </c>
      <c r="B1451" s="524" t="s">
        <v>963</v>
      </c>
      <c r="C1451" s="524">
        <v>1000</v>
      </c>
      <c r="D1451" s="524">
        <v>6800</v>
      </c>
      <c r="E1451" s="525">
        <f t="array" ref="E1451">SUMIFS('Accounting data'!$G$2:$G$37000,'Accounting data'!$H$2:$H$37000,"9999*",'Accounting data'!$J$2:$J$37000,"1*",'Accounting data'!$K$2:$K$37000,"68*")</f>
        <v>0</v>
      </c>
    </row>
    <row r="1452" spans="1:5" x14ac:dyDescent="0.25">
      <c r="A1452" s="524" t="s">
        <v>963</v>
      </c>
      <c r="B1452" s="524" t="s">
        <v>965</v>
      </c>
      <c r="C1452" s="524">
        <v>1000</v>
      </c>
      <c r="D1452" s="524">
        <v>6800</v>
      </c>
      <c r="E1452" s="525">
        <f t="array" ref="E1452">SUMIFS('Accounting data'!$G$2:$G$37000,'Accounting data'!$I$2:$I$37000,"7*",'Accounting data'!$J$2:$J$37000,"1*",'Accounting data'!$K$2:$K$37000,"68*")+SUMIFS('Accounting data'!$G$2:$G$37000,'Accounting data'!$I$2:$I$37000,"8*",'Accounting data'!$J$2:$J$37000,"1*",'Accounting data'!$K$2:$K$37000,"68*")+SUMIFS('Accounting data'!$G$2:$G$37000,'Accounting data'!$I$2:$I$37000,"9*",'Accounting data'!$J$2:$J$37000,"1*",'Accounting data'!$K$2:$K$37000,"68*")</f>
        <v>0</v>
      </c>
    </row>
    <row r="1453" spans="1:5" x14ac:dyDescent="0.25">
      <c r="A1453" s="526" t="s">
        <v>964</v>
      </c>
      <c r="B1453" s="524" t="s">
        <v>965</v>
      </c>
      <c r="C1453" s="524">
        <v>1000</v>
      </c>
      <c r="D1453" s="524">
        <v>6800</v>
      </c>
      <c r="E1453" s="525">
        <f t="array" ref="E1453">SUMIFS('Accounting data'!$G$2:$G$37000,'Accounting data'!$H$2:$H$37000,"9999*",'Accounting data'!$I$2:$I$37000,"7*",'Accounting data'!$J$2:$J$37000,"1*",'Accounting data'!$K$2:$K$37000,"68*")+SUMIFS('Accounting data'!$G$2:$G$37000,'Accounting data'!$H$2:$H$37000,"9999*",'Accounting data'!$I$2:$I$37000,"8*",'Accounting data'!$J$2:$J$37000,"1*",'Accounting data'!$K$2:$K$37000,"68*")+SUMIFS('Accounting data'!$G$2:$G$37000,'Accounting data'!$H$2:$H$37000,"9999*",'Accounting data'!$I$2:$I$37000,"9*",'Accounting data'!$J$2:$J$37000,"1*",'Accounting data'!$K$2:$K$37000,"68*")</f>
        <v>0</v>
      </c>
    </row>
    <row r="1454" spans="1:5" ht="14.4" x14ac:dyDescent="0.3">
      <c r="A1454" s="527" t="s">
        <v>1078</v>
      </c>
      <c r="B1454" s="527"/>
      <c r="C1454" s="527"/>
      <c r="D1454" s="527"/>
      <c r="E1454" s="528">
        <f>(E1450-E1451-E1452)+E1453</f>
        <v>0</v>
      </c>
    </row>
    <row r="1455" spans="1:5" x14ac:dyDescent="0.25">
      <c r="A1455" s="524" t="s">
        <v>963</v>
      </c>
      <c r="B1455" s="524" t="s">
        <v>963</v>
      </c>
      <c r="C1455" s="524">
        <v>2100</v>
      </c>
      <c r="D1455" s="524">
        <v>6800</v>
      </c>
      <c r="E1455" s="525">
        <f t="array" ref="E1455">SUMIFS('Accounting data'!$G$2:$G$37000,'Accounting data'!$J$2:$J$37000,"21*",'Accounting data'!$K$2:$K$37000,"68*")</f>
        <v>0</v>
      </c>
    </row>
    <row r="1456" spans="1:5" x14ac:dyDescent="0.25">
      <c r="A1456" s="524" t="s">
        <v>964</v>
      </c>
      <c r="B1456" s="524" t="s">
        <v>963</v>
      </c>
      <c r="C1456" s="524">
        <v>2100</v>
      </c>
      <c r="D1456" s="524">
        <v>6800</v>
      </c>
      <c r="E1456" s="525">
        <f t="array" ref="E1456">SUMIFS('Accounting data'!$G$2:$G$37000,'Accounting data'!$H$2:$H$37000,"9999*",'Accounting data'!$J$2:$J$37000,"21*",'Accounting data'!$K$2:$K$37000,"68*")</f>
        <v>0</v>
      </c>
    </row>
    <row r="1457" spans="1:5" x14ac:dyDescent="0.25">
      <c r="A1457" s="524" t="s">
        <v>963</v>
      </c>
      <c r="B1457" s="524" t="s">
        <v>965</v>
      </c>
      <c r="C1457" s="524">
        <v>2100</v>
      </c>
      <c r="D1457" s="524">
        <v>6800</v>
      </c>
      <c r="E1457" s="525">
        <f t="array" ref="E1457">SUMIFS('Accounting data'!$G$2:$G$37000,'Accounting data'!$I$2:$I$37000,"7*",'Accounting data'!$J$2:$J$37000,"21*",'Accounting data'!$K$2:$K$37000,"68*")+SUMIFS('Accounting data'!$G$2:$G$37000,'Accounting data'!$I$2:$I$37000,"8*",'Accounting data'!$J$2:$J$37000,"21*",'Accounting data'!$K$2:$K$37000,"68*")+SUMIFS('Accounting data'!$G$2:$G$37000,'Accounting data'!$I$2:$I$37000,"9*",'Accounting data'!$J$2:$J$37000,"21*",'Accounting data'!$K$2:$K$37000,"68*")</f>
        <v>0</v>
      </c>
    </row>
    <row r="1458" spans="1:5" x14ac:dyDescent="0.25">
      <c r="A1458" s="526" t="s">
        <v>964</v>
      </c>
      <c r="B1458" s="524" t="s">
        <v>965</v>
      </c>
      <c r="C1458" s="524">
        <v>2100</v>
      </c>
      <c r="D1458" s="524">
        <v>6800</v>
      </c>
      <c r="E1458" s="525">
        <f t="array" ref="E1458">SUMIFS('Accounting data'!$G$2:$G$37000,'Accounting data'!$H$2:$H$37000,"9999*",'Accounting data'!$I$2:$I$37000,"7*",'Accounting data'!$J$2:$J$37000,"21*",'Accounting data'!$K$2:$K$37000,"68*")+SUMIFS('Accounting data'!$G$2:$G$37000,'Accounting data'!$H$2:$H$37000,"9999*",'Accounting data'!$I$2:$I$37000,"8*",'Accounting data'!$J$2:$J$37000,"21*",'Accounting data'!$K$2:$K$37000,"68*")+SUMIFS('Accounting data'!$G$2:$G$37000,'Accounting data'!$H$2:$H$37000,"9999*",'Accounting data'!$I$2:$I$37000,"9*",'Accounting data'!$J$2:$J$37000,"21*",'Accounting data'!$K$2:$K$37000,"68*")</f>
        <v>0</v>
      </c>
    </row>
    <row r="1459" spans="1:5" ht="14.4" x14ac:dyDescent="0.3">
      <c r="A1459" s="527" t="s">
        <v>1079</v>
      </c>
      <c r="B1459" s="527"/>
      <c r="C1459" s="527"/>
      <c r="D1459" s="527"/>
      <c r="E1459" s="528">
        <f>(E1455-E1456-E1457)+E1458</f>
        <v>0</v>
      </c>
    </row>
    <row r="1460" spans="1:5" x14ac:dyDescent="0.25">
      <c r="A1460" s="524" t="s">
        <v>963</v>
      </c>
      <c r="B1460" s="524" t="s">
        <v>963</v>
      </c>
      <c r="C1460" s="524">
        <v>2200</v>
      </c>
      <c r="D1460" s="524">
        <v>6800</v>
      </c>
      <c r="E1460" s="525">
        <f t="array" ref="E1460">SUMIFS('Accounting data'!$G$2:$G$37000,'Accounting data'!$J$2:$J$37000,"22*",'Accounting data'!$K$2:$K$37000,"68*")</f>
        <v>0</v>
      </c>
    </row>
    <row r="1461" spans="1:5" x14ac:dyDescent="0.25">
      <c r="A1461" s="524" t="s">
        <v>964</v>
      </c>
      <c r="B1461" s="524" t="s">
        <v>963</v>
      </c>
      <c r="C1461" s="524">
        <v>2200</v>
      </c>
      <c r="D1461" s="524">
        <v>6800</v>
      </c>
      <c r="E1461" s="525">
        <f t="array" ref="E1461">SUMIFS('Accounting data'!$G$2:$G$37000,'Accounting data'!$H$2:$H$37000,"9999*",'Accounting data'!$J$2:$J$37000,"22*",'Accounting data'!$K$2:$K$37000,"68*")</f>
        <v>0</v>
      </c>
    </row>
    <row r="1462" spans="1:5" x14ac:dyDescent="0.25">
      <c r="A1462" s="524" t="s">
        <v>963</v>
      </c>
      <c r="B1462" s="524" t="s">
        <v>965</v>
      </c>
      <c r="C1462" s="524">
        <v>2200</v>
      </c>
      <c r="D1462" s="524">
        <v>6800</v>
      </c>
      <c r="E1462" s="525">
        <f t="array" ref="E1462">SUMIFS('Accounting data'!$G$2:$G$37000,'Accounting data'!$I$2:$I$37000,"7*",'Accounting data'!$J$2:$J$37000,"22*",'Accounting data'!$K$2:$K$37000,"68*")+SUMIFS('Accounting data'!$G$2:$G$37000,'Accounting data'!$I$2:$I$37000,"8*",'Accounting data'!$J$2:$J$37000,"22*",'Accounting data'!$K$2:$K$37000,"68*")+SUMIFS('Accounting data'!$G$2:$G$37000,'Accounting data'!$I$2:$I$37000,"9*",'Accounting data'!$J$2:$J$37000,"22*",'Accounting data'!$K$2:$K$37000,"68*")</f>
        <v>0</v>
      </c>
    </row>
    <row r="1463" spans="1:5" x14ac:dyDescent="0.25">
      <c r="A1463" s="526" t="s">
        <v>964</v>
      </c>
      <c r="B1463" s="524" t="s">
        <v>965</v>
      </c>
      <c r="C1463" s="524">
        <v>2200</v>
      </c>
      <c r="D1463" s="524">
        <v>6800</v>
      </c>
      <c r="E1463" s="525">
        <f t="array" ref="E1463">SUMIFS('Accounting data'!$G$2:$G$37000,'Accounting data'!$H$2:$H$37000,"9999*",'Accounting data'!$I$2:$I$37000,"7*",'Accounting data'!$J$2:$J$37000,"22*",'Accounting data'!$K$2:$K$37000,"68*")+SUMIFS('Accounting data'!$G$2:$G$37000,'Accounting data'!$H$2:$H$37000,"9999*",'Accounting data'!$I$2:$I$37000,"8*",'Accounting data'!$J$2:$J$37000,"22*",'Accounting data'!$K$2:$K$37000,"68*")+SUMIFS('Accounting data'!$G$2:$G$37000,'Accounting data'!$H$2:$H$37000,"9999*",'Accounting data'!$I$2:$I$37000,"9*",'Accounting data'!$J$2:$J$37000,"22*",'Accounting data'!$K$2:$K$37000,"68*")</f>
        <v>0</v>
      </c>
    </row>
    <row r="1464" spans="1:5" ht="14.4" x14ac:dyDescent="0.3">
      <c r="A1464" s="527" t="s">
        <v>1080</v>
      </c>
      <c r="B1464" s="527"/>
      <c r="C1464" s="527"/>
      <c r="D1464" s="527"/>
      <c r="E1464" s="528">
        <f>(E1460-E1461-E1462)+E1463</f>
        <v>0</v>
      </c>
    </row>
    <row r="1465" spans="1:5" x14ac:dyDescent="0.25">
      <c r="A1465" s="524" t="s">
        <v>963</v>
      </c>
      <c r="B1465" s="524" t="s">
        <v>963</v>
      </c>
      <c r="C1465" s="524">
        <v>2300</v>
      </c>
      <c r="D1465" s="524">
        <v>6800</v>
      </c>
      <c r="E1465" s="525">
        <f t="array" ref="E1465">SUMIFS('Accounting data'!$G$2:$G$37000,'Accounting data'!$J$2:$J$37000,"23*",'Accounting data'!$K$2:$K$37000,"68*")</f>
        <v>0</v>
      </c>
    </row>
    <row r="1466" spans="1:5" x14ac:dyDescent="0.25">
      <c r="A1466" s="524" t="s">
        <v>964</v>
      </c>
      <c r="B1466" s="524" t="s">
        <v>963</v>
      </c>
      <c r="C1466" s="524">
        <v>2300</v>
      </c>
      <c r="D1466" s="524">
        <v>6800</v>
      </c>
      <c r="E1466" s="525">
        <f t="array" ref="E1466">SUMIFS('Accounting data'!$G$2:$G$37000,'Accounting data'!$H$2:$H$37000,"9999*",'Accounting data'!$J$2:$J$37000,"23*",'Accounting data'!$K$2:$K$37000,"68*")</f>
        <v>0</v>
      </c>
    </row>
    <row r="1467" spans="1:5" x14ac:dyDescent="0.25">
      <c r="A1467" s="524" t="s">
        <v>963</v>
      </c>
      <c r="B1467" s="524" t="s">
        <v>965</v>
      </c>
      <c r="C1467" s="524">
        <v>2300</v>
      </c>
      <c r="D1467" s="524">
        <v>6800</v>
      </c>
      <c r="E1467" s="525">
        <f t="array" ref="E1467">SUMIFS('Accounting data'!$G$2:$G$37000,'Accounting data'!$I$2:$I$37000,"7*",'Accounting data'!$J$2:$J$37000,"23*",'Accounting data'!$K$2:$K$37000,"68*")+SUMIFS('Accounting data'!$G$2:$G$37000,'Accounting data'!$I$2:$I$37000,"8*",'Accounting data'!$J$2:$J$37000,"23*",'Accounting data'!$K$2:$K$37000,"68*")+SUMIFS('Accounting data'!$G$2:$G$37000,'Accounting data'!$I$2:$I$37000,"9*",'Accounting data'!$J$2:$J$37000,"23*",'Accounting data'!$K$2:$K$37000,"68*")</f>
        <v>0</v>
      </c>
    </row>
    <row r="1468" spans="1:5" x14ac:dyDescent="0.25">
      <c r="A1468" s="526" t="s">
        <v>964</v>
      </c>
      <c r="B1468" s="524" t="s">
        <v>965</v>
      </c>
      <c r="C1468" s="524">
        <v>2300</v>
      </c>
      <c r="D1468" s="524">
        <v>6800</v>
      </c>
      <c r="E1468" s="525">
        <f t="array" ref="E1468">SUMIFS('Accounting data'!$G$2:$G$37000,'Accounting data'!$H$2:$H$37000,"9999*",'Accounting data'!$I$2:$I$37000,"7*",'Accounting data'!$J$2:$J$37000,"23*",'Accounting data'!$K$2:$K$37000,"68*")+SUMIFS('Accounting data'!$G$2:$G$37000,'Accounting data'!$H$2:$H$37000,"9999*",'Accounting data'!$I$2:$I$37000,"8*",'Accounting data'!$J$2:$J$37000,"23*",'Accounting data'!$K$2:$K$37000,"68*")+SUMIFS('Accounting data'!$G$2:$G$37000,'Accounting data'!$H$2:$H$37000,"9999*",'Accounting data'!$I$2:$I$37000,"9*",'Accounting data'!$J$2:$J$37000,"23*",'Accounting data'!$K$2:$K$37000,"68*")</f>
        <v>0</v>
      </c>
    </row>
    <row r="1469" spans="1:5" ht="14.4" x14ac:dyDescent="0.3">
      <c r="A1469" s="527" t="s">
        <v>1081</v>
      </c>
      <c r="B1469" s="527"/>
      <c r="C1469" s="527"/>
      <c r="D1469" s="527"/>
      <c r="E1469" s="528">
        <f>(E1465-E1466-E1467)+E1468</f>
        <v>0</v>
      </c>
    </row>
    <row r="1470" spans="1:5" x14ac:dyDescent="0.25">
      <c r="A1470" s="524" t="s">
        <v>963</v>
      </c>
      <c r="B1470" s="524" t="s">
        <v>963</v>
      </c>
      <c r="C1470" s="524">
        <v>2400</v>
      </c>
      <c r="D1470" s="524">
        <v>6800</v>
      </c>
      <c r="E1470" s="525">
        <f t="array" ref="E1470">SUMIFS('Accounting data'!$G$2:$G$37000,'Accounting data'!$J$2:$J$37000,"24*",'Accounting data'!$K$2:$K$37000,"68*")</f>
        <v>0</v>
      </c>
    </row>
    <row r="1471" spans="1:5" x14ac:dyDescent="0.25">
      <c r="A1471" s="524" t="s">
        <v>964</v>
      </c>
      <c r="B1471" s="524" t="s">
        <v>963</v>
      </c>
      <c r="C1471" s="524">
        <v>2400</v>
      </c>
      <c r="D1471" s="524">
        <v>6800</v>
      </c>
      <c r="E1471" s="525">
        <f t="array" ref="E1471">SUMIFS('Accounting data'!$G$2:$G$37000,'Accounting data'!$H$2:$H$37000,"9999*",'Accounting data'!$J$2:$J$37000,"24*",'Accounting data'!$K$2:$K$37000,"68*")</f>
        <v>0</v>
      </c>
    </row>
    <row r="1472" spans="1:5" x14ac:dyDescent="0.25">
      <c r="A1472" s="524" t="s">
        <v>963</v>
      </c>
      <c r="B1472" s="524" t="s">
        <v>965</v>
      </c>
      <c r="C1472" s="524">
        <v>2400</v>
      </c>
      <c r="D1472" s="524">
        <v>6800</v>
      </c>
      <c r="E1472" s="525">
        <f t="array" ref="E1472">SUMIFS('Accounting data'!$G$2:$G$37000,'Accounting data'!$I$2:$I$37000,"7*",'Accounting data'!$J$2:$J$37000,"24*",'Accounting data'!$K$2:$K$37000,"68*")+SUMIFS('Accounting data'!$G$2:$G$37000,'Accounting data'!$I$2:$I$37000,"8*",'Accounting data'!$J$2:$J$37000,"24*",'Accounting data'!$K$2:$K$37000,"68*")+SUMIFS('Accounting data'!$G$2:$G$37000,'Accounting data'!$I$2:$I$37000,"9*",'Accounting data'!$J$2:$J$37000,"24*",'Accounting data'!$K$2:$K$37000,"68*")</f>
        <v>0</v>
      </c>
    </row>
    <row r="1473" spans="1:5" x14ac:dyDescent="0.25">
      <c r="A1473" s="526" t="s">
        <v>964</v>
      </c>
      <c r="B1473" s="524" t="s">
        <v>965</v>
      </c>
      <c r="C1473" s="524">
        <v>2400</v>
      </c>
      <c r="D1473" s="524">
        <v>6800</v>
      </c>
      <c r="E1473" s="525">
        <f t="array" ref="E1473">SUMIFS('Accounting data'!$G$2:$G$37000,'Accounting data'!$H$2:$H$37000,"9999*",'Accounting data'!$I$2:$I$37000,"7*",'Accounting data'!$J$2:$J$37000,"24*",'Accounting data'!$K$2:$K$37000,"68*")+SUMIFS('Accounting data'!$G$2:$G$37000,'Accounting data'!$H$2:$H$37000,"9999*",'Accounting data'!$I$2:$I$37000,"8*",'Accounting data'!$J$2:$J$37000,"24*",'Accounting data'!$K$2:$K$37000,"68*")+SUMIFS('Accounting data'!$G$2:$G$37000,'Accounting data'!$H$2:$H$37000,"9999*",'Accounting data'!$I$2:$I$37000,"9*",'Accounting data'!$J$2:$J$37000,"24*",'Accounting data'!$K$2:$K$37000,"68*")</f>
        <v>0</v>
      </c>
    </row>
    <row r="1474" spans="1:5" ht="14.4" x14ac:dyDescent="0.3">
      <c r="A1474" s="527" t="s">
        <v>1082</v>
      </c>
      <c r="B1474" s="527"/>
      <c r="C1474" s="527"/>
      <c r="D1474" s="527"/>
      <c r="E1474" s="528">
        <f>(E1470-E1471-E1472)+E1473</f>
        <v>0</v>
      </c>
    </row>
    <row r="1475" spans="1:5" x14ac:dyDescent="0.25">
      <c r="A1475" s="524" t="s">
        <v>963</v>
      </c>
      <c r="B1475" s="524" t="s">
        <v>963</v>
      </c>
      <c r="C1475" s="524">
        <v>2500</v>
      </c>
      <c r="D1475" s="524">
        <v>6800</v>
      </c>
      <c r="E1475" s="525">
        <f t="array" ref="E1475">SUMIFS('Accounting data'!$G$2:$G$37000,'Accounting data'!$J$2:$J$37000,"25*",'Accounting data'!$K$2:$K$37000,"68*")</f>
        <v>0</v>
      </c>
    </row>
    <row r="1476" spans="1:5" x14ac:dyDescent="0.25">
      <c r="A1476" s="524" t="s">
        <v>964</v>
      </c>
      <c r="B1476" s="524" t="s">
        <v>963</v>
      </c>
      <c r="C1476" s="524">
        <v>2500</v>
      </c>
      <c r="D1476" s="524">
        <v>6800</v>
      </c>
      <c r="E1476" s="525">
        <f t="array" ref="E1476">SUMIFS('Accounting data'!$G$2:$G$37000,'Accounting data'!$H$2:$H$37000,"9999*",'Accounting data'!$J$2:$J$37000,"25*",'Accounting data'!$K$2:$K$37000,"68*")</f>
        <v>0</v>
      </c>
    </row>
    <row r="1477" spans="1:5" x14ac:dyDescent="0.25">
      <c r="A1477" s="524" t="s">
        <v>963</v>
      </c>
      <c r="B1477" s="524" t="s">
        <v>965</v>
      </c>
      <c r="C1477" s="524">
        <v>2500</v>
      </c>
      <c r="D1477" s="524">
        <v>6800</v>
      </c>
      <c r="E1477" s="525">
        <f t="array" ref="E1477">SUMIFS('Accounting data'!$G$2:$G$37000,'Accounting data'!$I$2:$I$37000,"7*",'Accounting data'!$J$2:$J$37000,"25*",'Accounting data'!$K$2:$K$37000,"68*")+SUMIFS('Accounting data'!$G$2:$G$37000,'Accounting data'!$I$2:$I$37000,"8*",'Accounting data'!$J$2:$J$37000,"25*",'Accounting data'!$K$2:$K$37000,"68*")+SUMIFS('Accounting data'!$G$2:$G$37000,'Accounting data'!$I$2:$I$37000,"9*",'Accounting data'!$J$2:$J$37000,"25*",'Accounting data'!$K$2:$K$37000,"68*")</f>
        <v>0</v>
      </c>
    </row>
    <row r="1478" spans="1:5" x14ac:dyDescent="0.25">
      <c r="A1478" s="526" t="s">
        <v>964</v>
      </c>
      <c r="B1478" s="524" t="s">
        <v>965</v>
      </c>
      <c r="C1478" s="524">
        <v>2500</v>
      </c>
      <c r="D1478" s="524">
        <v>6800</v>
      </c>
      <c r="E1478" s="525">
        <f t="array" ref="E1478">SUMIFS('Accounting data'!$G$2:$G$37000,'Accounting data'!$H$2:$H$37000,"9999*",'Accounting data'!$I$2:$I$37000,"7*",'Accounting data'!$J$2:$J$37000,"25*",'Accounting data'!$K$2:$K$37000,"68*")+SUMIFS('Accounting data'!$G$2:$G$37000,'Accounting data'!$H$2:$H$37000,"9999*",'Accounting data'!$I$2:$I$37000,"8*",'Accounting data'!$J$2:$J$37000,"25*",'Accounting data'!$K$2:$K$37000,"68*")+SUMIFS('Accounting data'!$G$2:$G$37000,'Accounting data'!$H$2:$H$37000,"9999*",'Accounting data'!$I$2:$I$37000,"9*",'Accounting data'!$J$2:$J$37000,"25*",'Accounting data'!$K$2:$K$37000,"68*")</f>
        <v>0</v>
      </c>
    </row>
    <row r="1479" spans="1:5" ht="14.4" x14ac:dyDescent="0.3">
      <c r="A1479" s="527" t="s">
        <v>1083</v>
      </c>
      <c r="B1479" s="527"/>
      <c r="C1479" s="527"/>
      <c r="D1479" s="527"/>
      <c r="E1479" s="528">
        <f>(E1475-E1476-E1477)+E1478</f>
        <v>0</v>
      </c>
    </row>
    <row r="1480" spans="1:5" x14ac:dyDescent="0.25">
      <c r="A1480" s="524" t="s">
        <v>963</v>
      </c>
      <c r="B1480" s="524" t="s">
        <v>963</v>
      </c>
      <c r="C1480" s="524">
        <v>2900</v>
      </c>
      <c r="D1480" s="524">
        <v>6800</v>
      </c>
      <c r="E1480" s="525">
        <f t="array" ref="E1480">SUMIFS('Accounting data'!$G$2:$G$37000,'Accounting data'!$J$2:$J$37000,"29*",'Accounting data'!$K$2:$K$37000,"68*")</f>
        <v>0</v>
      </c>
    </row>
    <row r="1481" spans="1:5" x14ac:dyDescent="0.25">
      <c r="A1481" s="524" t="s">
        <v>964</v>
      </c>
      <c r="B1481" s="524" t="s">
        <v>963</v>
      </c>
      <c r="C1481" s="524">
        <v>2900</v>
      </c>
      <c r="D1481" s="524">
        <v>6800</v>
      </c>
      <c r="E1481" s="525">
        <f t="array" ref="E1481">SUMIFS('Accounting data'!$G$2:$G$37000,'Accounting data'!$H$2:$H$37000,"9999*",'Accounting data'!$J$2:$J$37000,"29*",'Accounting data'!$K$2:$K$37000,"68*")</f>
        <v>0</v>
      </c>
    </row>
    <row r="1482" spans="1:5" x14ac:dyDescent="0.25">
      <c r="A1482" s="524" t="s">
        <v>963</v>
      </c>
      <c r="B1482" s="524" t="s">
        <v>965</v>
      </c>
      <c r="C1482" s="524">
        <v>2900</v>
      </c>
      <c r="D1482" s="524">
        <v>6800</v>
      </c>
      <c r="E1482" s="525">
        <f t="array" ref="E1482">SUMIFS('Accounting data'!$G$2:$G$37000,'Accounting data'!$I$2:$I$37000,"7*",'Accounting data'!$J$2:$J$37000,"29*",'Accounting data'!$K$2:$K$37000,"68*")+SUMIFS('Accounting data'!$G$2:$G$37000,'Accounting data'!$I$2:$I$37000,"8*",'Accounting data'!$J$2:$J$37000,"29*",'Accounting data'!$K$2:$K$37000,"68*")+SUMIFS('Accounting data'!$G$2:$G$37000,'Accounting data'!$I$2:$I$37000,"9*",'Accounting data'!$J$2:$J$37000,"29*",'Accounting data'!$K$2:$K$37000,"68*")</f>
        <v>0</v>
      </c>
    </row>
    <row r="1483" spans="1:5" x14ac:dyDescent="0.25">
      <c r="A1483" s="526" t="s">
        <v>964</v>
      </c>
      <c r="B1483" s="524" t="s">
        <v>965</v>
      </c>
      <c r="C1483" s="524">
        <v>2900</v>
      </c>
      <c r="D1483" s="524">
        <v>6800</v>
      </c>
      <c r="E1483" s="525">
        <f t="array" ref="E1483">SUMIFS('Accounting data'!$G$2:$G$37000,'Accounting data'!$H$2:$H$37000,"9999*",'Accounting data'!$I$2:$I$37000,"7*",'Accounting data'!$J$2:$J$37000,"29*",'Accounting data'!$K$2:$K$37000,"68*")+SUMIFS('Accounting data'!$G$2:$G$37000,'Accounting data'!$H$2:$H$37000,"9999*",'Accounting data'!$I$2:$I$37000,"8*",'Accounting data'!$J$2:$J$37000,"29*",'Accounting data'!$K$2:$K$37000,"68*")+SUMIFS('Accounting data'!$G$2:$G$37000,'Accounting data'!$H$2:$H$37000,"9999*",'Accounting data'!$I$2:$I$37000,"9*",'Accounting data'!$J$2:$J$37000,"29*",'Accounting data'!$K$2:$K$37000,"68*")</f>
        <v>0</v>
      </c>
    </row>
    <row r="1484" spans="1:5" ht="14.4" x14ac:dyDescent="0.3">
      <c r="A1484" s="527" t="s">
        <v>1084</v>
      </c>
      <c r="B1484" s="527"/>
      <c r="C1484" s="527"/>
      <c r="D1484" s="527"/>
      <c r="E1484" s="528">
        <f>(E1480-E1481-E1482)+E1483</f>
        <v>0</v>
      </c>
    </row>
    <row r="1485" spans="1:5" x14ac:dyDescent="0.25">
      <c r="A1485" s="524" t="s">
        <v>963</v>
      </c>
      <c r="B1485" s="524" t="s">
        <v>963</v>
      </c>
      <c r="C1485" s="524">
        <v>2600</v>
      </c>
      <c r="D1485" s="524">
        <v>6800</v>
      </c>
      <c r="E1485" s="525">
        <f t="array" ref="E1485">SUMIFS('Accounting data'!$G$2:$G$37000,'Accounting data'!$J$2:$J$37000,"26*",'Accounting data'!$K$2:$K$37000,"68*")</f>
        <v>0</v>
      </c>
    </row>
    <row r="1486" spans="1:5" x14ac:dyDescent="0.25">
      <c r="A1486" s="524" t="s">
        <v>964</v>
      </c>
      <c r="B1486" s="524" t="s">
        <v>963</v>
      </c>
      <c r="C1486" s="524">
        <v>2600</v>
      </c>
      <c r="D1486" s="524">
        <v>6800</v>
      </c>
      <c r="E1486" s="525">
        <f t="array" ref="E1486">SUMIFS('Accounting data'!$G$2:$G$37000,'Accounting data'!$H$2:$H$37000,"9999*",'Accounting data'!$J$2:$J$37000,"26*",'Accounting data'!$K$2:$K$37000,"68*")</f>
        <v>0</v>
      </c>
    </row>
    <row r="1487" spans="1:5" x14ac:dyDescent="0.25">
      <c r="A1487" s="524" t="s">
        <v>963</v>
      </c>
      <c r="B1487" s="524" t="s">
        <v>965</v>
      </c>
      <c r="C1487" s="524">
        <v>2600</v>
      </c>
      <c r="D1487" s="524">
        <v>6800</v>
      </c>
      <c r="E1487" s="525">
        <f t="array" ref="E1487">SUMIFS('Accounting data'!$G$2:$G$37000,'Accounting data'!$I$2:$I$37000,"7*",'Accounting data'!$J$2:$J$37000,"26*",'Accounting data'!$K$2:$K$37000,"68*")+SUMIFS('Accounting data'!$G$2:$G$37000,'Accounting data'!$I$2:$I$37000,"8*",'Accounting data'!$J$2:$J$37000,"26*",'Accounting data'!$K$2:$K$37000,"68*")+SUMIFS('Accounting data'!$G$2:$G$37000,'Accounting data'!$I$2:$I$37000,"9*",'Accounting data'!$J$2:$J$37000,"26*",'Accounting data'!$K$2:$K$37000,"68*")</f>
        <v>0</v>
      </c>
    </row>
    <row r="1488" spans="1:5" x14ac:dyDescent="0.25">
      <c r="A1488" s="526" t="s">
        <v>964</v>
      </c>
      <c r="B1488" s="524" t="s">
        <v>965</v>
      </c>
      <c r="C1488" s="524">
        <v>2600</v>
      </c>
      <c r="D1488" s="524">
        <v>6800</v>
      </c>
      <c r="E1488" s="525">
        <f t="array" ref="E1488">SUMIFS('Accounting data'!$G$2:$G$37000,'Accounting data'!$H$2:$H$37000,"9999*",'Accounting data'!$I$2:$I$37000,"7*",'Accounting data'!$J$2:$J$37000,"26*",'Accounting data'!$K$2:$K$37000,"68*")+SUMIFS('Accounting data'!$G$2:$G$37000,'Accounting data'!$H$2:$H$37000,"9999*",'Accounting data'!$I$2:$I$37000,"8*",'Accounting data'!$J$2:$J$37000,"26*",'Accounting data'!$K$2:$K$37000,"68*")+SUMIFS('Accounting data'!$G$2:$G$37000,'Accounting data'!$H$2:$H$37000,"9999*",'Accounting data'!$I$2:$I$37000,"9*",'Accounting data'!$J$2:$J$37000,"26*",'Accounting data'!$K$2:$K$37000,"68*")</f>
        <v>0</v>
      </c>
    </row>
    <row r="1489" spans="1:5" ht="14.4" x14ac:dyDescent="0.3">
      <c r="A1489" s="527" t="s">
        <v>1085</v>
      </c>
      <c r="B1489" s="527"/>
      <c r="C1489" s="527"/>
      <c r="D1489" s="527"/>
      <c r="E1489" s="528">
        <f>(E1485-E1486-E1487)+E1488</f>
        <v>0</v>
      </c>
    </row>
    <row r="1490" spans="1:5" x14ac:dyDescent="0.25">
      <c r="A1490" s="524" t="s">
        <v>963</v>
      </c>
      <c r="B1490" s="524" t="s">
        <v>963</v>
      </c>
      <c r="C1490" s="524">
        <v>2700</v>
      </c>
      <c r="D1490" s="524">
        <v>6800</v>
      </c>
      <c r="E1490" s="525">
        <f t="array" ref="E1490">SUMIFS('Accounting data'!$G$2:$G$37000,'Accounting data'!$J$2:$J$37000,"27*",'Accounting data'!$K$2:$K$37000,"68*")</f>
        <v>0</v>
      </c>
    </row>
    <row r="1491" spans="1:5" x14ac:dyDescent="0.25">
      <c r="A1491" s="524" t="s">
        <v>964</v>
      </c>
      <c r="B1491" s="524" t="s">
        <v>963</v>
      </c>
      <c r="C1491" s="524">
        <v>2700</v>
      </c>
      <c r="D1491" s="524">
        <v>6800</v>
      </c>
      <c r="E1491" s="525">
        <f t="array" ref="E1491">SUMIFS('Accounting data'!$G$2:$G$37000,'Accounting data'!$H$2:$H$37000,"9999*",'Accounting data'!$J$2:$J$37000,"27*",'Accounting data'!$K$2:$K$37000,"68*")</f>
        <v>0</v>
      </c>
    </row>
    <row r="1492" spans="1:5" x14ac:dyDescent="0.25">
      <c r="A1492" s="524" t="s">
        <v>963</v>
      </c>
      <c r="B1492" s="524" t="s">
        <v>965</v>
      </c>
      <c r="C1492" s="524">
        <v>2700</v>
      </c>
      <c r="D1492" s="524">
        <v>6800</v>
      </c>
      <c r="E1492" s="525">
        <f t="array" ref="E1492">SUMIFS('Accounting data'!$G$2:$G$37000,'Accounting data'!$I$2:$I$37000,"7*",'Accounting data'!$J$2:$J$37000,"27*",'Accounting data'!$K$2:$K$37000,"68*")+SUMIFS('Accounting data'!$G$2:$G$37000,'Accounting data'!$I$2:$I$37000,"8*",'Accounting data'!$J$2:$J$37000,"27*",'Accounting data'!$K$2:$K$37000,"68*")+SUMIFS('Accounting data'!$G$2:$G$37000,'Accounting data'!$I$2:$I$37000,"9*",'Accounting data'!$J$2:$J$37000,"27*",'Accounting data'!$K$2:$K$37000,"68*")</f>
        <v>0</v>
      </c>
    </row>
    <row r="1493" spans="1:5" x14ac:dyDescent="0.25">
      <c r="A1493" s="526" t="s">
        <v>964</v>
      </c>
      <c r="B1493" s="524" t="s">
        <v>965</v>
      </c>
      <c r="C1493" s="524">
        <v>2700</v>
      </c>
      <c r="D1493" s="524">
        <v>6800</v>
      </c>
      <c r="E1493" s="525">
        <f t="array" ref="E1493">SUMIFS('Accounting data'!$G$2:$G$37000,'Accounting data'!$H$2:$H$37000,"9999*",'Accounting data'!$I$2:$I$37000,"7*",'Accounting data'!$J$2:$J$37000,"27*",'Accounting data'!$K$2:$K$37000,"68*")+SUMIFS('Accounting data'!$G$2:$G$37000,'Accounting data'!$H$2:$H$37000,"9999*",'Accounting data'!$I$2:$I$37000,"8*",'Accounting data'!$J$2:$J$37000,"27*",'Accounting data'!$K$2:$K$37000,"68*")+SUMIFS('Accounting data'!$G$2:$G$37000,'Accounting data'!$H$2:$H$37000,"9999*",'Accounting data'!$I$2:$I$37000,"9*",'Accounting data'!$J$2:$J$37000,"27*",'Accounting data'!$K$2:$K$37000,"68*")</f>
        <v>0</v>
      </c>
    </row>
    <row r="1494" spans="1:5" ht="14.4" x14ac:dyDescent="0.3">
      <c r="A1494" s="527" t="s">
        <v>1086</v>
      </c>
      <c r="B1494" s="527"/>
      <c r="C1494" s="527"/>
      <c r="D1494" s="527"/>
      <c r="E1494" s="528">
        <f>(E1490-E1491-E1492)+E1493</f>
        <v>0</v>
      </c>
    </row>
    <row r="1495" spans="1:5" x14ac:dyDescent="0.25">
      <c r="A1495" s="524" t="s">
        <v>963</v>
      </c>
      <c r="B1495" s="524" t="s">
        <v>963</v>
      </c>
      <c r="C1495" s="524">
        <v>3100</v>
      </c>
      <c r="D1495" s="524">
        <v>6800</v>
      </c>
      <c r="E1495" s="525">
        <f t="array" ref="E1495">SUMIFS('Accounting data'!$G$2:$G$37000,'Accounting data'!$J$2:$J$37000,"31*",'Accounting data'!$K$2:$K$37000,"68*")</f>
        <v>0</v>
      </c>
    </row>
    <row r="1496" spans="1:5" x14ac:dyDescent="0.25">
      <c r="A1496" s="524" t="s">
        <v>964</v>
      </c>
      <c r="B1496" s="524" t="s">
        <v>963</v>
      </c>
      <c r="C1496" s="524">
        <v>3100</v>
      </c>
      <c r="D1496" s="524">
        <v>6800</v>
      </c>
      <c r="E1496" s="525">
        <f t="array" ref="E1496">SUMIFS('Accounting data'!$G$2:$G$37000,'Accounting data'!$H$2:$H$37000,"9999*",'Accounting data'!$J$2:$J$37000,"31*",'Accounting data'!$K$2:$K$37000,"68*")</f>
        <v>0</v>
      </c>
    </row>
    <row r="1497" spans="1:5" x14ac:dyDescent="0.25">
      <c r="A1497" s="524" t="s">
        <v>963</v>
      </c>
      <c r="B1497" s="524" t="s">
        <v>965</v>
      </c>
      <c r="C1497" s="524">
        <v>3100</v>
      </c>
      <c r="D1497" s="524">
        <v>6800</v>
      </c>
      <c r="E1497" s="525">
        <f t="array" ref="E1497">SUMIFS('Accounting data'!$G$2:$G$37000,'Accounting data'!$I$2:$I$37000,"7*",'Accounting data'!$J$2:$J$37000,"31*",'Accounting data'!$K$2:$K$37000,"68*")+SUMIFS('Accounting data'!$G$2:$G$37000,'Accounting data'!$I$2:$I$37000,"8*",'Accounting data'!$J$2:$J$37000,"31*",'Accounting data'!$K$2:$K$37000,"68*")+SUMIFS('Accounting data'!$G$2:$G$37000,'Accounting data'!$I$2:$I$37000,"9*",'Accounting data'!$J$2:$J$37000,"31*",'Accounting data'!$K$2:$K$37000,"68*")</f>
        <v>0</v>
      </c>
    </row>
    <row r="1498" spans="1:5" x14ac:dyDescent="0.25">
      <c r="A1498" s="526" t="s">
        <v>964</v>
      </c>
      <c r="B1498" s="524" t="s">
        <v>965</v>
      </c>
      <c r="C1498" s="524">
        <v>3100</v>
      </c>
      <c r="D1498" s="524">
        <v>6800</v>
      </c>
      <c r="E1498" s="525">
        <f t="array" ref="E1498">SUMIFS('Accounting data'!$G$2:$G$37000,'Accounting data'!$H$2:$H$37000,"9999*",'Accounting data'!$I$2:$I$37000,"7*",'Accounting data'!$J$2:$J$37000,"31*",'Accounting data'!$K$2:$K$37000,"68*")+SUMIFS('Accounting data'!$G$2:$G$37000,'Accounting data'!$H$2:$H$37000,"9999*",'Accounting data'!$I$2:$I$37000,"8*",'Accounting data'!$J$2:$J$37000,"31*",'Accounting data'!$K$2:$K$37000,"68*")+SUMIFS('Accounting data'!$G$2:$G$37000,'Accounting data'!$H$2:$H$37000,"9999*",'Accounting data'!$I$2:$I$37000,"9*",'Accounting data'!$J$2:$J$37000,"31*",'Accounting data'!$K$2:$K$37000,"68*")</f>
        <v>0</v>
      </c>
    </row>
    <row r="1499" spans="1:5" ht="14.4" x14ac:dyDescent="0.3">
      <c r="A1499" s="527" t="s">
        <v>1087</v>
      </c>
      <c r="B1499" s="527"/>
      <c r="C1499" s="527"/>
      <c r="D1499" s="527"/>
      <c r="E1499" s="528">
        <f>(E1495-E1496-E1497)+E1498</f>
        <v>0</v>
      </c>
    </row>
    <row r="1500" spans="1:5" x14ac:dyDescent="0.25">
      <c r="A1500" s="524" t="s">
        <v>963</v>
      </c>
      <c r="B1500" s="524" t="s">
        <v>963</v>
      </c>
      <c r="C1500" s="524">
        <v>3400</v>
      </c>
      <c r="D1500" s="524">
        <v>6800</v>
      </c>
      <c r="E1500" s="525">
        <f t="array" ref="E1500">SUMIFS('Accounting data'!$G$2:$G$37000,'Accounting data'!$J$2:$J$37000,"34*",'Accounting data'!$K$2:$K$37000,"68*")</f>
        <v>0</v>
      </c>
    </row>
    <row r="1501" spans="1:5" x14ac:dyDescent="0.25">
      <c r="A1501" s="524" t="s">
        <v>964</v>
      </c>
      <c r="B1501" s="524" t="s">
        <v>963</v>
      </c>
      <c r="C1501" s="524">
        <v>3400</v>
      </c>
      <c r="D1501" s="524">
        <v>6800</v>
      </c>
      <c r="E1501" s="525">
        <f t="array" ref="E1501">SUMIFS('Accounting data'!$G$2:$G$37000,'Accounting data'!$H$2:$H$37000,"9999*",'Accounting data'!$J$2:$J$37000,"34*",'Accounting data'!$K$2:$K$37000,"68*")</f>
        <v>0</v>
      </c>
    </row>
    <row r="1502" spans="1:5" x14ac:dyDescent="0.25">
      <c r="A1502" s="524" t="s">
        <v>963</v>
      </c>
      <c r="B1502" s="524" t="s">
        <v>965</v>
      </c>
      <c r="C1502" s="524">
        <v>3400</v>
      </c>
      <c r="D1502" s="524">
        <v>6800</v>
      </c>
      <c r="E1502" s="525">
        <f t="array" ref="E1502">SUMIFS('Accounting data'!$G$2:$G$37000,'Accounting data'!$I$2:$I$37000,"7*",'Accounting data'!$J$2:$J$37000,"34*",'Accounting data'!$K$2:$K$37000,"68*")+SUMIFS('Accounting data'!$G$2:$G$37000,'Accounting data'!$I$2:$I$37000,"8*",'Accounting data'!$J$2:$J$37000,"34*",'Accounting data'!$K$2:$K$37000,"68*")+SUMIFS('Accounting data'!$G$2:$G$37000,'Accounting data'!$I$2:$I$37000,"9*",'Accounting data'!$J$2:$J$37000,"34*",'Accounting data'!$K$2:$K$37000,"68*")</f>
        <v>0</v>
      </c>
    </row>
    <row r="1503" spans="1:5" x14ac:dyDescent="0.25">
      <c r="A1503" s="526" t="s">
        <v>964</v>
      </c>
      <c r="B1503" s="524" t="s">
        <v>965</v>
      </c>
      <c r="C1503" s="524">
        <v>3400</v>
      </c>
      <c r="D1503" s="524">
        <v>6800</v>
      </c>
      <c r="E1503" s="525">
        <f t="array" ref="E1503">SUMIFS('Accounting data'!$G$2:$G$37000,'Accounting data'!$H$2:$H$37000,"9999*",'Accounting data'!$I$2:$I$37000,"7*",'Accounting data'!$J$2:$J$37000,"34*",'Accounting data'!$K$2:$K$37000,"68*")+SUMIFS('Accounting data'!$G$2:$G$37000,'Accounting data'!$H$2:$H$37000,"9999*",'Accounting data'!$I$2:$I$37000,"8*",'Accounting data'!$J$2:$J$37000,"34*",'Accounting data'!$K$2:$K$37000,"68*")+SUMIFS('Accounting data'!$G$2:$G$37000,'Accounting data'!$H$2:$H$37000,"9999*",'Accounting data'!$I$2:$I$37000,"9*",'Accounting data'!$J$2:$J$37000,"34*",'Accounting data'!$K$2:$K$37000,"68*")</f>
        <v>0</v>
      </c>
    </row>
    <row r="1504" spans="1:5" ht="14.4" x14ac:dyDescent="0.3">
      <c r="A1504" s="527" t="s">
        <v>1088</v>
      </c>
      <c r="B1504" s="527"/>
      <c r="C1504" s="527"/>
      <c r="D1504" s="527"/>
      <c r="E1504" s="528">
        <f>(E1500-E1501-E1502)+E1503</f>
        <v>0</v>
      </c>
    </row>
    <row r="1505" spans="1:5" ht="14.4" x14ac:dyDescent="0.3">
      <c r="A1505" s="530" t="s">
        <v>1089</v>
      </c>
      <c r="B1505" s="530"/>
      <c r="C1505" s="530"/>
      <c r="D1505" s="530"/>
      <c r="E1505" s="531">
        <f>E1454+E1459+E1464+E1469+E1474+E1479+E1484+E1489+E1494+E1499+E1504</f>
        <v>0</v>
      </c>
    </row>
    <row r="1506" spans="1:5" x14ac:dyDescent="0.25">
      <c r="A1506" s="524" t="s">
        <v>979</v>
      </c>
      <c r="B1506" s="524" t="s">
        <v>963</v>
      </c>
      <c r="C1506" s="524">
        <v>1000</v>
      </c>
      <c r="D1506" s="524">
        <v>6800</v>
      </c>
      <c r="E1506" s="525">
        <f>SUMIFS('Accounting data'!$G$2:$G$37000,'Accounting data'!$H$2:$H$37000,"11*",'Accounting data'!$J$2:$J$37000,"1*",'Accounting data'!$K$2:$K$37000,"68*")+SUMIFS('Accounting data'!$G$2:$G$37000,'Accounting data'!$H$2:$H$37000,"12*",'Accounting data'!$J$2:$J$37000,"1*",'Accounting data'!$K$2:$K$37000,"68*")+SUMIFS('Accounting data'!$G$2:$G$37000,'Accounting data'!$H$2:$H$37000,"13*",'Accounting data'!$J$2:$J$37000,"1*",'Accounting data'!$K$2:$K$37000,"68*")</f>
        <v>0</v>
      </c>
    </row>
    <row r="1507" spans="1:5" x14ac:dyDescent="0.25">
      <c r="A1507" s="524" t="s">
        <v>979</v>
      </c>
      <c r="B1507" s="524" t="s">
        <v>963</v>
      </c>
      <c r="C1507" s="524">
        <v>2000</v>
      </c>
      <c r="D1507" s="524">
        <v>6800</v>
      </c>
      <c r="E1507" s="525">
        <f>SUMIFS('Accounting data'!$G$2:$G$37000,'Accounting data'!$H$2:$H$37000,"11*",'Accounting data'!$J$2:$J$37000,"2*",'Accounting data'!$K$2:$K$37000,"68*")+SUMIFS('Accounting data'!$G$2:$G$37000,'Accounting data'!$H$2:$H$37000,"12*",'Accounting data'!$J$2:$J$37000,"2*",'Accounting data'!$K$2:$K$37000,"68*")+SUMIFS('Accounting data'!$G$2:$G$37000,'Accounting data'!$H$2:$H$37000,"13*",'Accounting data'!$J$2:$J$37000,"2*",'Accounting data'!$K$2:$K$37000,"68*")</f>
        <v>0</v>
      </c>
    </row>
    <row r="1508" spans="1:5" x14ac:dyDescent="0.25">
      <c r="A1508" s="524" t="s">
        <v>979</v>
      </c>
      <c r="B1508" s="524" t="s">
        <v>963</v>
      </c>
      <c r="C1508" s="524">
        <v>3000</v>
      </c>
      <c r="D1508" s="524">
        <v>6800</v>
      </c>
      <c r="E1508" s="525">
        <f>SUMIFS('Accounting data'!$G$2:$G$37000,'Accounting data'!$H$2:$H$37000,"11*",'Accounting data'!$J$2:$J$37000,"3*",'Accounting data'!$K$2:$K$37000,"68*")+SUMIFS('Accounting data'!$G$2:$G$37000,'Accounting data'!$H$2:$H$37000,"12*",'Accounting data'!$J$2:$J$37000,"3*",'Accounting data'!$K$2:$K$37000,"68*")+SUMIFS('Accounting data'!$G$2:$G$37000,'Accounting data'!$H$2:$H$37000,"13*",'Accounting data'!$J$2:$J$37000,"3*",'Accounting data'!$K$2:$K$37000,"68*")</f>
        <v>0</v>
      </c>
    </row>
    <row r="1509" spans="1:5" x14ac:dyDescent="0.25">
      <c r="A1509" s="524" t="s">
        <v>979</v>
      </c>
      <c r="B1509" s="526">
        <v>700</v>
      </c>
      <c r="C1509" s="524">
        <v>1000</v>
      </c>
      <c r="D1509" s="524">
        <v>6800</v>
      </c>
      <c r="E1509" s="525">
        <f>SUMIFS('Accounting data'!$G$2:$G$37000,'Accounting data'!$H$2:$H$37000,"11*",'Accounting data'!$I$2:$I$37000,"7*",'Accounting data'!$J$2:$J$37000,"1*",'Accounting data'!$K$2:$K$37000,"68*")+SUMIFS('Accounting data'!$G$2:$G$37000,'Accounting data'!$H$2:$H$37000,"12*",'Accounting data'!$I$2:$I$37000,"7*",'Accounting data'!$J$2:$J$37000,"1*",'Accounting data'!$K$2:$K$37000,"68*")+SUMIFS('Accounting data'!$G$2:$G$37000,'Accounting data'!$H$2:$H$37000,"13*",'Accounting data'!$I$2:$I$37000,"7*",'Accounting data'!$J$2:$J$37000,"1*",'Accounting data'!$K$2:$K$37000,"68*")</f>
        <v>0</v>
      </c>
    </row>
    <row r="1510" spans="1:5" x14ac:dyDescent="0.25">
      <c r="A1510" s="524" t="s">
        <v>979</v>
      </c>
      <c r="B1510" s="526">
        <v>800</v>
      </c>
      <c r="C1510" s="524">
        <v>1000</v>
      </c>
      <c r="D1510" s="524">
        <v>6800</v>
      </c>
      <c r="E1510" s="525">
        <f>SUMIFS('Accounting data'!$G$2:$G$37000,'Accounting data'!$H$2:$H$37000,"11*",'Accounting data'!$I$2:$I$37000,"8*",'Accounting data'!$J$2:$J$37000,"1*",'Accounting data'!$K$2:$K$37000,"68*")+SUMIFS('Accounting data'!$G$2:$G$37000,'Accounting data'!$H$2:$H$37000,"12*",'Accounting data'!$I$2:$I$37000,"8*",'Accounting data'!$J$2:$J$37000,"1*",'Accounting data'!$K$2:$K$37000,"68*")+SUMIFS('Accounting data'!$G$2:$G$37000,'Accounting data'!$H$2:$H$37000,"13*",'Accounting data'!$I$2:$I$37000,"8*",'Accounting data'!$J$2:$J$37000,"1*",'Accounting data'!$K$2:$K$37000,"68*")</f>
        <v>0</v>
      </c>
    </row>
    <row r="1511" spans="1:5" x14ac:dyDescent="0.25">
      <c r="A1511" s="524" t="s">
        <v>979</v>
      </c>
      <c r="B1511" s="526">
        <v>900</v>
      </c>
      <c r="C1511" s="524">
        <v>1000</v>
      </c>
      <c r="D1511" s="524">
        <v>6800</v>
      </c>
      <c r="E1511" s="525">
        <f>SUMIFS('Accounting data'!$G$2:$G$37000,'Accounting data'!$H$2:$H$37000,"11*",'Accounting data'!$I$2:$I$37000,"9*",'Accounting data'!$J$2:$J$37000,"1*",'Accounting data'!$K$2:$K$37000,"68*")+SUMIFS('Accounting data'!$G$2:$G$37000,'Accounting data'!$H$2:$H$37000,"12*",'Accounting data'!$I$2:$I$37000,"9*",'Accounting data'!$J$2:$J$37000,"1*",'Accounting data'!$K$2:$K$37000,"68*")+SUMIFS('Accounting data'!$G$2:$G$37000,'Accounting data'!$H$2:$H$37000,"13*",'Accounting data'!$I$2:$I$37000,"9*",'Accounting data'!$J$2:$J$37000,"1*",'Accounting data'!$K$2:$K$37000,"68*")</f>
        <v>0</v>
      </c>
    </row>
    <row r="1512" spans="1:5" x14ac:dyDescent="0.25">
      <c r="A1512" s="524" t="s">
        <v>979</v>
      </c>
      <c r="B1512" s="526">
        <v>700</v>
      </c>
      <c r="C1512" s="524">
        <v>2000</v>
      </c>
      <c r="D1512" s="524">
        <v>6800</v>
      </c>
      <c r="E1512" s="525">
        <f>SUMIFS('Accounting data'!$G$2:$G$37000,'Accounting data'!$H$2:$H$37000,"11*",'Accounting data'!$I$2:$I$37000,"7*",'Accounting data'!$J$2:$J$37000,"2*",'Accounting data'!$K$2:$K$37000,"68*")+SUMIFS('Accounting data'!$G$2:$G$37000,'Accounting data'!$H$2:$H$37000,"12*",'Accounting data'!$I$2:$I$37000,"7*",'Accounting data'!$J$2:$J$37000,"2*",'Accounting data'!$K$2:$K$37000,"68*")+SUMIFS('Accounting data'!$G$2:$G$37000,'Accounting data'!$H$2:$H$37000,"13*",'Accounting data'!$I$2:$I$37000,"7*",'Accounting data'!$J$2:$J$37000,"2*",'Accounting data'!$K$2:$K$37000,"68*")</f>
        <v>0</v>
      </c>
    </row>
    <row r="1513" spans="1:5" x14ac:dyDescent="0.25">
      <c r="A1513" s="524" t="s">
        <v>979</v>
      </c>
      <c r="B1513" s="526">
        <v>800</v>
      </c>
      <c r="C1513" s="524">
        <v>2000</v>
      </c>
      <c r="D1513" s="524">
        <v>6800</v>
      </c>
      <c r="E1513" s="525">
        <f>SUMIFS('Accounting data'!$G$2:$G$37000,'Accounting data'!$H$2:$H$37000,"11*",'Accounting data'!$I$2:$I$37000,"8*",'Accounting data'!$J$2:$J$37000,"2*",'Accounting data'!$K$2:$K$37000,"68*")+SUMIFS('Accounting data'!$G$2:$G$37000,'Accounting data'!$H$2:$H$37000,"12*",'Accounting data'!$I$2:$I$37000,"8*",'Accounting data'!$J$2:$J$37000,"2*",'Accounting data'!$K$2:$K$37000,"68*")+SUMIFS('Accounting data'!$G$2:$G$37000,'Accounting data'!$H$2:$H$37000,"13*",'Accounting data'!$I$2:$I$37000,"8*",'Accounting data'!$J$2:$J$37000,"2*",'Accounting data'!$K$2:$K$37000,"68*")</f>
        <v>0</v>
      </c>
    </row>
    <row r="1514" spans="1:5" x14ac:dyDescent="0.25">
      <c r="A1514" s="524" t="s">
        <v>979</v>
      </c>
      <c r="B1514" s="526">
        <v>900</v>
      </c>
      <c r="C1514" s="524">
        <v>2000</v>
      </c>
      <c r="D1514" s="524">
        <v>6800</v>
      </c>
      <c r="E1514" s="525">
        <f>SUMIFS('Accounting data'!$G$2:$G$37000,'Accounting data'!$H$2:$H$37000,"11*",'Accounting data'!$I$2:$I$37000,"9*",'Accounting data'!$J$2:$J$37000,"2*",'Accounting data'!$K$2:$K$37000,"68*")+SUMIFS('Accounting data'!$G$2:$G$37000,'Accounting data'!$H$2:$H$37000,"12*",'Accounting data'!$I$2:$I$37000,"9*",'Accounting data'!$J$2:$J$37000,"2*",'Accounting data'!$K$2:$K$37000,"68*")+SUMIFS('Accounting data'!$G$2:$G$37000,'Accounting data'!$H$2:$H$37000,"13*",'Accounting data'!$I$2:$I$37000,"9*",'Accounting data'!$J$2:$J$37000,"2*",'Accounting data'!$K$2:$K$37000,"68*")</f>
        <v>0</v>
      </c>
    </row>
    <row r="1515" spans="1:5" x14ac:dyDescent="0.25">
      <c r="A1515" s="524" t="s">
        <v>979</v>
      </c>
      <c r="B1515" s="526">
        <v>700</v>
      </c>
      <c r="C1515" s="524">
        <v>3000</v>
      </c>
      <c r="D1515" s="524">
        <v>6800</v>
      </c>
      <c r="E1515" s="525">
        <f>SUMIFS('Accounting data'!$G$2:$G$37000,'Accounting data'!$H$2:$H$37000,"11*",'Accounting data'!$I$2:$I$37000,"7*",'Accounting data'!$J$2:$J$37000,"3*",'Accounting data'!$K$2:$K$37000,"68*")+SUMIFS('Accounting data'!$G$2:$G$37000,'Accounting data'!$H$2:$H$37000,"12*",'Accounting data'!$I$2:$I$37000,"7*",'Accounting data'!$J$2:$J$37000,"3*",'Accounting data'!$K$2:$K$37000,"68*")+SUMIFS('Accounting data'!$G$2:$G$37000,'Accounting data'!$H$2:$H$37000,"13*",'Accounting data'!$I$2:$I$37000,"7*",'Accounting data'!$J$2:$J$37000,"3*",'Accounting data'!$K$2:$K$37000,"68*")</f>
        <v>0</v>
      </c>
    </row>
    <row r="1516" spans="1:5" x14ac:dyDescent="0.25">
      <c r="A1516" s="524" t="s">
        <v>979</v>
      </c>
      <c r="B1516" s="526">
        <v>800</v>
      </c>
      <c r="C1516" s="524">
        <v>3000</v>
      </c>
      <c r="D1516" s="524">
        <v>6800</v>
      </c>
      <c r="E1516" s="525">
        <f>SUMIFS('Accounting data'!$G$2:$G$37000,'Accounting data'!$H$2:$H$37000,"11*",'Accounting data'!$I$2:$I$37000,"8*",'Accounting data'!$J$2:$J$37000,"3*",'Accounting data'!$K$2:$K$37000,"68*")+SUMIFS('Accounting data'!$G$2:$G$37000,'Accounting data'!$H$2:$H$37000,"12*",'Accounting data'!$I$2:$I$37000,"8*",'Accounting data'!$J$2:$J$37000,"3*",'Accounting data'!$K$2:$K$37000,"68*")+SUMIFS('Accounting data'!$G$2:$G$37000,'Accounting data'!$H$2:$H$37000,"13*",'Accounting data'!$I$2:$I$37000,"8*",'Accounting data'!$J$2:$J$37000,"3*",'Accounting data'!$K$2:$K$37000,"68*")</f>
        <v>0</v>
      </c>
    </row>
    <row r="1517" spans="1:5" x14ac:dyDescent="0.25">
      <c r="A1517" s="524" t="s">
        <v>979</v>
      </c>
      <c r="B1517" s="526">
        <v>900</v>
      </c>
      <c r="C1517" s="524">
        <v>3000</v>
      </c>
      <c r="D1517" s="524">
        <v>6800</v>
      </c>
      <c r="E1517" s="525">
        <f>SUMIFS('Accounting data'!$G$2:$G$37000,'Accounting data'!$H$2:$H$37000,"11*",'Accounting data'!$I$2:$I$37000,"9*",'Accounting data'!$J$2:$J$37000,"3*",'Accounting data'!$K$2:$K$37000,"68*")+SUMIFS('Accounting data'!$G$2:$G$37000,'Accounting data'!$H$2:$H$37000,"12*",'Accounting data'!$I$2:$I$37000,"9*",'Accounting data'!$J$2:$J$37000,"3*",'Accounting data'!$K$2:$K$37000,"68*")+SUMIFS('Accounting data'!$G$2:$G$37000,'Accounting data'!$H$2:$H$37000,"13*",'Accounting data'!$I$2:$I$37000,"9*",'Accounting data'!$J$2:$J$37000,"3*",'Accounting data'!$K$2:$K$37000,"68*")</f>
        <v>0</v>
      </c>
    </row>
    <row r="1518" spans="1:5" x14ac:dyDescent="0.25">
      <c r="A1518" s="527" t="s">
        <v>1090</v>
      </c>
      <c r="B1518" s="527"/>
      <c r="C1518" s="527"/>
      <c r="D1518" s="527"/>
      <c r="E1518" s="537">
        <f>(E1506+E1507+E1508)-(E1509+E1510+E1511+E1512+E1513+E1514+E1515+E1516+E1517)</f>
        <v>0</v>
      </c>
    </row>
    <row r="1519" spans="1:5" x14ac:dyDescent="0.25">
      <c r="A1519" s="524" t="s">
        <v>963</v>
      </c>
      <c r="B1519" s="524" t="s">
        <v>963</v>
      </c>
      <c r="C1519" s="524">
        <v>4000</v>
      </c>
      <c r="D1519" s="524">
        <v>6800</v>
      </c>
      <c r="E1519" s="525">
        <f>SUMIFS('Accounting data'!G$2:G$37000,'Accounting data'!J$2:J$37000,"4*",'Accounting data'!K$2:K$37000,"68*")</f>
        <v>0</v>
      </c>
    </row>
    <row r="1520" spans="1:5" x14ac:dyDescent="0.25">
      <c r="A1520" s="524" t="s">
        <v>964</v>
      </c>
      <c r="B1520" s="524" t="s">
        <v>963</v>
      </c>
      <c r="C1520" s="524">
        <v>4000</v>
      </c>
      <c r="D1520" s="524">
        <v>6800</v>
      </c>
      <c r="E1520" s="525">
        <f t="array" ref="E1520">SUMIFS('Accounting data'!$G$2:$G$37000,'Accounting data'!$H$2:$H$37000,"9999*",'Accounting data'!$J$2:$J$37000,"4*",'Accounting data'!$K$2:$K$37000,"68*")</f>
        <v>0</v>
      </c>
    </row>
    <row r="1521" spans="1:5" x14ac:dyDescent="0.25">
      <c r="A1521" s="524" t="s">
        <v>963</v>
      </c>
      <c r="B1521" s="524" t="s">
        <v>965</v>
      </c>
      <c r="C1521" s="524">
        <v>4000</v>
      </c>
      <c r="D1521" s="524">
        <v>6800</v>
      </c>
      <c r="E1521" s="525">
        <f t="array" ref="E1521">SUMIFS('Accounting data'!$G$2:$G$37000,'Accounting data'!$I$2:$I$37000,"7*",'Accounting data'!$J$2:$J$37000,"4*",'Accounting data'!$K$2:$K$37000,"68*")+SUMIFS('Accounting data'!$G$2:$G$37000,'Accounting data'!$I$2:$I$37000,"8*",'Accounting data'!$J$2:$J$37000,"4*",'Accounting data'!$K$2:$K$37000,"68*")+SUMIFS('Accounting data'!$G$2:$G$37000,'Accounting data'!$I$2:$I$37000,"9*",'Accounting data'!$J$2:$J$37000,"4*",'Accounting data'!$K$2:$K$37000,"68*")</f>
        <v>0</v>
      </c>
    </row>
    <row r="1522" spans="1:5" x14ac:dyDescent="0.25">
      <c r="A1522" s="526" t="s">
        <v>964</v>
      </c>
      <c r="B1522" s="524" t="s">
        <v>965</v>
      </c>
      <c r="C1522" s="524">
        <v>4000</v>
      </c>
      <c r="D1522" s="524">
        <v>6800</v>
      </c>
      <c r="E1522" s="525">
        <f t="array" ref="E1522">SUMIFS('Accounting data'!$G$2:$G$37000,'Accounting data'!$H$2:$H$37000,"9999*",'Accounting data'!$I$2:$I$37000,"7*",'Accounting data'!$J$2:$J$37000,"4*",'Accounting data'!$K$2:$K$37000,"68*")+SUMIFS('Accounting data'!$G$2:$G$37000,'Accounting data'!$H$2:$H$37000,"9999*",'Accounting data'!$I$2:$I$37000,"8*",'Accounting data'!$J$2:$J$37000,"4*",'Accounting data'!$K$2:$K$37000,"68*")+SUMIFS('Accounting data'!$G$2:$G$37000,'Accounting data'!$H$2:$H$37000,"9999*",'Accounting data'!$I$2:$I$37000,"9*",'Accounting data'!$J$2:$J$37000,"4*",'Accounting data'!$K$2:$K$37000,"68*")</f>
        <v>0</v>
      </c>
    </row>
    <row r="1523" spans="1:5" ht="14.4" x14ac:dyDescent="0.3">
      <c r="A1523" s="527" t="s">
        <v>1091</v>
      </c>
      <c r="B1523" s="527"/>
      <c r="C1523" s="527"/>
      <c r="D1523" s="527"/>
      <c r="E1523" s="528">
        <f>(E1519-E1520-E1521)+E1522</f>
        <v>0</v>
      </c>
    </row>
    <row r="1524" spans="1:5" x14ac:dyDescent="0.25">
      <c r="A1524" s="524" t="s">
        <v>963</v>
      </c>
      <c r="B1524" s="524" t="s">
        <v>963</v>
      </c>
      <c r="C1524" s="524">
        <v>1900</v>
      </c>
      <c r="D1524" s="524">
        <v>6100</v>
      </c>
      <c r="E1524" s="525">
        <f>SUMIFS('Accounting data'!$G$2:$G$37000,'Accounting data'!$J$2:$J$37000,"19*",'Accounting data'!$K$2:$K$37000,"61*")</f>
        <v>0</v>
      </c>
    </row>
    <row r="1525" spans="1:5" x14ac:dyDescent="0.25">
      <c r="A1525" s="524" t="s">
        <v>964</v>
      </c>
      <c r="B1525" s="524" t="s">
        <v>963</v>
      </c>
      <c r="C1525" s="524">
        <v>1900</v>
      </c>
      <c r="D1525" s="524">
        <v>6100</v>
      </c>
      <c r="E1525" s="525">
        <f>SUMIFS('Accounting data'!$G$2:$G$37000,'Accounting data'!$H$2:$H$37000,"9999*",'Accounting data'!$J$2:$J$37000,"19*",'Accounting data'!$K$2:$K$37000,"61*")</f>
        <v>0</v>
      </c>
    </row>
    <row r="1526" spans="1:5" x14ac:dyDescent="0.25">
      <c r="A1526" s="524" t="s">
        <v>963</v>
      </c>
      <c r="B1526" s="524" t="s">
        <v>965</v>
      </c>
      <c r="C1526" s="524">
        <v>1900</v>
      </c>
      <c r="D1526" s="524">
        <v>6100</v>
      </c>
      <c r="E1526" s="525">
        <f>SUMIFS('Accounting data'!$G$2:$G$37000,'Accounting data'!$I$2:$I$37000,"7*",'Accounting data'!$J$2:$J$37000,"19*",'Accounting data'!$K$2:$K$37000,"61*")+SUMIFS('Accounting data'!$G$2:$G$37000,'Accounting data'!$I$2:$I$37000,"8*",'Accounting data'!$J$2:$J$37000,"19*",'Accounting data'!$K$2:$K$37000,"61*")+SUMIFS('Accounting data'!$G$2:$G$37000,'Accounting data'!$I$2:$I$37000,"9*",'Accounting data'!$J$2:$J$37000,"19*",'Accounting data'!$K$2:$K$37000,"61*")</f>
        <v>0</v>
      </c>
    </row>
    <row r="1527" spans="1:5" x14ac:dyDescent="0.25">
      <c r="A1527" s="526" t="s">
        <v>964</v>
      </c>
      <c r="B1527" s="524" t="s">
        <v>965</v>
      </c>
      <c r="C1527" s="524">
        <v>1900</v>
      </c>
      <c r="D1527" s="524">
        <v>6100</v>
      </c>
      <c r="E1527" s="525">
        <f>SUMIFS('Accounting data'!$G$2:$G$37000,'Accounting data'!$H$2:$H$37000,"9999*",'Accounting data'!$I$2:$I$37000,"7*",'Accounting data'!$J$2:$J$37000,"19*",'Accounting data'!$K$2:$K$37000,"61*")+SUMIFS('Accounting data'!$G$2:$G$37000,'Accounting data'!$H$2:$H$37000,"9999*",'Accounting data'!$I$2:$I$37000,"8*",'Accounting data'!$J$2:$J$37000,"19*",'Accounting data'!$K$2:$K$37000,"61*")+SUMIFS('Accounting data'!$G$2:$G$37000,'Accounting data'!$H$2:$H$37000,"9999*",'Accounting data'!$I$2:$I$37000,"9*",'Accounting data'!$J$2:$J$37000,"19*",'Accounting data'!$K$2:$K$37000,"61*")</f>
        <v>0</v>
      </c>
    </row>
    <row r="1528" spans="1:5" x14ac:dyDescent="0.25">
      <c r="A1528" s="527" t="s">
        <v>1092</v>
      </c>
      <c r="B1528" s="527"/>
      <c r="C1528" s="527"/>
      <c r="D1528" s="527"/>
      <c r="E1528" s="537">
        <f>(E1524-E1525-E1526)+E1527</f>
        <v>0</v>
      </c>
    </row>
    <row r="1529" spans="1:5" x14ac:dyDescent="0.25">
      <c r="A1529" s="524" t="s">
        <v>979</v>
      </c>
      <c r="B1529" s="524" t="s">
        <v>963</v>
      </c>
      <c r="C1529" s="524">
        <v>1900</v>
      </c>
      <c r="D1529" s="524">
        <v>6100</v>
      </c>
      <c r="E1529" s="525">
        <f t="array" ref="E1529">SUMIFS('Accounting data'!$G$2:$G$37000,'Accounting data'!$H$2:$H$37000,"11*",'Accounting data'!$J$2:$J$37000,"19*",'Accounting data'!$K$2:$K$37000,"61*")+SUMIFS('Accounting data'!$G$2:$G$37000,'Accounting data'!$H$2:$H$37000,"12*",'Accounting data'!$J$2:$J$37000,"19*",'Accounting data'!$K$2:$K$37000,"61*")+SUMIFS('Accounting data'!$G$2:$G$37000,'Accounting data'!$H$2:$H$37000,"13*",'Accounting data'!$J$2:$J$37000,"19*",'Accounting data'!$K$2:$K$37000,"61*")</f>
        <v>0</v>
      </c>
    </row>
    <row r="1530" spans="1:5" x14ac:dyDescent="0.25">
      <c r="A1530" s="524" t="s">
        <v>979</v>
      </c>
      <c r="B1530" s="526">
        <v>700</v>
      </c>
      <c r="C1530" s="524">
        <v>1900</v>
      </c>
      <c r="D1530" s="524">
        <v>6100</v>
      </c>
      <c r="E1530" s="525">
        <f t="array" ref="E1530">SUMIFS('Accounting data'!$G$2:$G$37000,'Accounting data'!$H$2:$H$37000,"11*",'Accounting data'!$I$2:$I$37000,"7*",'Accounting data'!$J$2:$J$37000,"19*",'Accounting data'!$K$2:$K$37000,"61*")+SUMIFS('Accounting data'!$G$2:$G$37000,'Accounting data'!$H$2:$H$37000,"12*",'Accounting data'!$I$2:$I$37000,"7*",'Accounting data'!$J$2:$J$37000,"19*",'Accounting data'!$K$2:$K$37000,"61*")+SUMIFS('Accounting data'!$G$2:$G$37000,'Accounting data'!$H$2:$H$37000,"13*",'Accounting data'!$I$2:$I$37000,"7*",'Accounting data'!$J$2:$J$37000,"19*",'Accounting data'!$K$2:$K$37000,"61*")</f>
        <v>0</v>
      </c>
    </row>
    <row r="1531" spans="1:5" x14ac:dyDescent="0.25">
      <c r="A1531" s="524" t="s">
        <v>979</v>
      </c>
      <c r="B1531" s="526">
        <v>800</v>
      </c>
      <c r="C1531" s="524">
        <v>1900</v>
      </c>
      <c r="D1531" s="524">
        <v>6100</v>
      </c>
      <c r="E1531" s="525">
        <f t="array" ref="E1531">SUMIFS('Accounting data'!$G$2:$G$37000,'Accounting data'!$H$2:$H$37000,"11*",'Accounting data'!$I$2:$I$37000,"8*",'Accounting data'!$J$2:$J$37000,"19*",'Accounting data'!$K$2:$K$37000,"61*")+SUMIFS('Accounting data'!$G$2:$G$37000,'Accounting data'!$H$2:$H$37000,"12*",'Accounting data'!$I$2:$I$37000,"8*",'Accounting data'!$J$2:$J$37000,"19*",'Accounting data'!$K$2:$K$37000,"61*")+SUMIFS('Accounting data'!$G$2:$G$37000,'Accounting data'!$H$2:$H$37000,"13*",'Accounting data'!$I$2:$I$37000,"8*",'Accounting data'!$J$2:$J$37000,"19*",'Accounting data'!$K$2:$K$37000,"61*")</f>
        <v>0</v>
      </c>
    </row>
    <row r="1532" spans="1:5" x14ac:dyDescent="0.25">
      <c r="A1532" s="524" t="s">
        <v>979</v>
      </c>
      <c r="B1532" s="526">
        <v>900</v>
      </c>
      <c r="C1532" s="524">
        <v>1900</v>
      </c>
      <c r="D1532" s="524">
        <v>6100</v>
      </c>
      <c r="E1532" s="525">
        <f t="array" ref="E1532">SUMIFS('Accounting data'!$G$2:$G$37000,'Accounting data'!$H$2:$H$37000,"11*",'Accounting data'!$I$2:$I$37000,"9*",'Accounting data'!$J$2:$J$37000,"19*",'Accounting data'!$K$2:$K$37000,"61*")+SUMIFS('Accounting data'!$G$2:$G$37000,'Accounting data'!$H$2:$H$37000,"12*",'Accounting data'!$I$2:$I$37000,"9*",'Accounting data'!$J$2:$J$37000,"19*",'Accounting data'!$K$2:$K$37000,"61*")+SUMIFS('Accounting data'!$G$2:$G$37000,'Accounting data'!$H$2:$H$37000,"13*",'Accounting data'!$I$2:$I$37000,"9*",'Accounting data'!$J$2:$J$37000,"19*",'Accounting data'!$K$2:$K$37000,"61*")</f>
        <v>0</v>
      </c>
    </row>
    <row r="1533" spans="1:5" x14ac:dyDescent="0.25">
      <c r="A1533" s="527" t="s">
        <v>1093</v>
      </c>
      <c r="B1533" s="527"/>
      <c r="C1533" s="527"/>
      <c r="D1533" s="527"/>
      <c r="E1533" s="537">
        <f>E1529-(E1530+E1531+E1532)</f>
        <v>0</v>
      </c>
    </row>
    <row r="1534" spans="1:5" x14ac:dyDescent="0.25">
      <c r="A1534" s="530" t="s">
        <v>1094</v>
      </c>
      <c r="B1534" s="530"/>
      <c r="C1534" s="530"/>
      <c r="D1534" s="530"/>
      <c r="E1534" s="534">
        <f>E1528-E1533</f>
        <v>0</v>
      </c>
    </row>
    <row r="1535" spans="1:5" x14ac:dyDescent="0.25">
      <c r="A1535" s="538" t="s">
        <v>963</v>
      </c>
      <c r="B1535" s="538" t="s">
        <v>963</v>
      </c>
      <c r="C1535" s="538">
        <v>5000</v>
      </c>
      <c r="D1535" s="538">
        <v>6800</v>
      </c>
      <c r="E1535" s="539">
        <f>SUMIFS('Accounting data'!G$2:G$37000,'Accounting data'!J$2:J$37000,"5*",'Accounting data'!K$2:K$37000,"68*")</f>
        <v>19899</v>
      </c>
    </row>
    <row r="1536" spans="1:5" x14ac:dyDescent="0.25">
      <c r="A1536" s="538" t="s">
        <v>964</v>
      </c>
      <c r="B1536" s="538" t="s">
        <v>963</v>
      </c>
      <c r="C1536" s="538">
        <v>5000</v>
      </c>
      <c r="D1536" s="538">
        <v>6800</v>
      </c>
      <c r="E1536" s="539">
        <f>SUMIFS('Accounting data'!$G$2:$G$37000,'Accounting data'!$H$2:$H$37000,"9999*",'Accounting data'!$J$2:$J$37000,"5*",'Accounting data'!$K$2:$K$37000,"68*")</f>
        <v>0</v>
      </c>
    </row>
    <row r="1537" spans="1:5" x14ac:dyDescent="0.25">
      <c r="A1537" s="538" t="s">
        <v>963</v>
      </c>
      <c r="B1537" s="538" t="s">
        <v>965</v>
      </c>
      <c r="C1537" s="538">
        <v>5000</v>
      </c>
      <c r="D1537" s="538">
        <v>6800</v>
      </c>
      <c r="E1537" s="539">
        <f>SUMIFS('Accounting data'!$G$2:$G$37000,'Accounting data'!$I$2:$I$37000,"7*",'Accounting data'!$J$2:$J$37000,"5*",'Accounting data'!$K$2:$K$37000,"68*")+SUMIFS('Accounting data'!$G$2:$G$37000,'Accounting data'!$I$2:$I$37000,"8*",'Accounting data'!$J$2:$J$37000,"5*",'Accounting data'!$K$2:$K$37000,"68*")+SUMIFS('Accounting data'!$G$2:$G$37000,'Accounting data'!$I$2:$I$37000,"9*",'Accounting data'!$J$2:$J$37000,"5*",'Accounting data'!$K$2:$K$37000,"68*")</f>
        <v>0</v>
      </c>
    </row>
    <row r="1538" spans="1:5" x14ac:dyDescent="0.25">
      <c r="A1538" s="540" t="s">
        <v>964</v>
      </c>
      <c r="B1538" s="538" t="s">
        <v>965</v>
      </c>
      <c r="C1538" s="538">
        <v>5000</v>
      </c>
      <c r="D1538" s="538">
        <v>6800</v>
      </c>
      <c r="E1538" s="539">
        <f>SUMIFS('Accounting data'!$G$2:$G$37000,'Accounting data'!$H$2:$H$37000,"9999*",'Accounting data'!$I$2:$I$37000,"7*",'Accounting data'!$J$2:$J$37000,"5*",'Accounting data'!$K$2:$K$37000,"68*")+SUMIFS('Accounting data'!$G$2:$G$37000,'Accounting data'!$H$2:$H$37000,"9999*",'Accounting data'!$I$2:$I$37000,"8*",'Accounting data'!$J$2:$J$37000,"5*",'Accounting data'!$K$2:$K$37000,"68*")+SUMIFS('Accounting data'!$G$2:$G$37000,'Accounting data'!$H$2:$H$37000,"9999*",'Accounting data'!$I$2:$I$37000,"9*",'Accounting data'!$J$2:$J$37000,"5*",'Accounting data'!$K$2:$K$37000,"68*")</f>
        <v>0</v>
      </c>
    </row>
    <row r="1539" spans="1:5" ht="14.4" x14ac:dyDescent="0.3">
      <c r="A1539" s="541" t="s">
        <v>1095</v>
      </c>
      <c r="B1539" s="541"/>
      <c r="C1539" s="541"/>
      <c r="D1539" s="541"/>
      <c r="E1539" s="528">
        <f>(E1535-E1536-E1537)+E1538</f>
        <v>19899</v>
      </c>
    </row>
  </sheetData>
  <sheetProtection sheet="1" objects="1" scenarios="1"/>
  <autoFilter ref="A1:E1534" xr:uid="{00000000-0009-0000-0000-000012000000}"/>
  <printOptions horizontalCentered="1"/>
  <pageMargins left="0.7" right="0.7" top="0.75" bottom="0.75" header="0.3" footer="0.3"/>
  <pageSetup scale="28" fitToHeight="8" orientation="portrait" r:id="rId1"/>
  <headerFooter>
    <oddFooter>&amp;LRev. 8/25 Arizona Department of Education and Auditor General&amp;CFY 2025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5EF4-8459-440D-AC21-22BDF4A2DA81}">
  <sheetPr>
    <pageSetUpPr fitToPage="1"/>
  </sheetPr>
  <dimension ref="A1:D141"/>
  <sheetViews>
    <sheetView showGridLines="0" workbookViewId="0"/>
  </sheetViews>
  <sheetFormatPr defaultColWidth="9.33203125" defaultRowHeight="13.2" x14ac:dyDescent="0.25"/>
  <cols>
    <col min="1" max="1" width="11.77734375" style="156" customWidth="1"/>
    <col min="2" max="2" width="25" style="156" customWidth="1"/>
    <col min="3" max="3" width="112.21875" style="156" customWidth="1"/>
    <col min="4" max="4" width="32.6640625" style="517" customWidth="1"/>
    <col min="5" max="5" width="9.33203125" style="156" customWidth="1"/>
    <col min="6" max="6" width="17.6640625" style="156" customWidth="1"/>
    <col min="7" max="10" width="9.33203125" style="156" customWidth="1"/>
    <col min="11" max="16384" width="9.33203125" style="156"/>
  </cols>
  <sheetData>
    <row r="1" spans="1:4" ht="24.75" customHeight="1" x14ac:dyDescent="0.25">
      <c r="A1" s="704" t="s">
        <v>724</v>
      </c>
      <c r="B1" s="704" t="s">
        <v>725</v>
      </c>
      <c r="C1" s="704" t="s">
        <v>726</v>
      </c>
      <c r="D1" s="704" t="s">
        <v>727</v>
      </c>
    </row>
    <row r="2" spans="1:4" ht="65.25" customHeight="1" x14ac:dyDescent="0.25">
      <c r="A2" s="991" t="s">
        <v>728</v>
      </c>
      <c r="B2" s="992"/>
      <c r="C2" s="705" t="s">
        <v>729</v>
      </c>
      <c r="D2" s="706"/>
    </row>
    <row r="3" spans="1:4" ht="68.25" customHeight="1" x14ac:dyDescent="0.25">
      <c r="A3" s="993"/>
      <c r="B3" s="994"/>
      <c r="C3" s="707" t="s">
        <v>730</v>
      </c>
      <c r="D3" s="706"/>
    </row>
    <row r="4" spans="1:4" ht="73.5" customHeight="1" x14ac:dyDescent="0.25">
      <c r="A4" s="993"/>
      <c r="B4" s="994"/>
      <c r="C4" s="708" t="s">
        <v>1096</v>
      </c>
      <c r="D4" s="706"/>
    </row>
    <row r="5" spans="1:4" ht="216.75" customHeight="1" x14ac:dyDescent="0.25">
      <c r="A5" s="993"/>
      <c r="B5" s="994"/>
      <c r="C5" s="709" t="s">
        <v>1317</v>
      </c>
      <c r="D5" s="706"/>
    </row>
    <row r="6" spans="1:4" ht="85.5" customHeight="1" x14ac:dyDescent="0.25">
      <c r="A6" s="995"/>
      <c r="B6" s="996"/>
      <c r="C6" s="708" t="s">
        <v>731</v>
      </c>
      <c r="D6" s="706"/>
    </row>
    <row r="7" spans="1:4" ht="54.45" customHeight="1" x14ac:dyDescent="0.25">
      <c r="A7" s="512" t="s">
        <v>732</v>
      </c>
      <c r="B7" s="710" t="s">
        <v>733</v>
      </c>
      <c r="C7" s="708" t="s">
        <v>734</v>
      </c>
      <c r="D7" s="706"/>
    </row>
    <row r="8" spans="1:4" ht="93" customHeight="1" x14ac:dyDescent="0.25">
      <c r="A8" s="512" t="s">
        <v>732</v>
      </c>
      <c r="B8" s="711" t="s">
        <v>1259</v>
      </c>
      <c r="C8" s="690" t="s">
        <v>1268</v>
      </c>
      <c r="D8" s="712" t="s">
        <v>1269</v>
      </c>
    </row>
    <row r="9" spans="1:4" ht="187.5" customHeight="1" x14ac:dyDescent="0.25">
      <c r="A9" s="513" t="s">
        <v>735</v>
      </c>
      <c r="B9" s="710" t="s">
        <v>733</v>
      </c>
      <c r="C9" s="709" t="s">
        <v>1318</v>
      </c>
      <c r="D9" s="706"/>
    </row>
    <row r="10" spans="1:4" ht="190.05" customHeight="1" x14ac:dyDescent="0.25">
      <c r="A10" s="997" t="s">
        <v>736</v>
      </c>
      <c r="B10" s="999" t="s">
        <v>728</v>
      </c>
      <c r="C10" s="707" t="s">
        <v>737</v>
      </c>
      <c r="D10" s="706"/>
    </row>
    <row r="11" spans="1:4" ht="217.5" customHeight="1" x14ac:dyDescent="0.25">
      <c r="A11" s="998"/>
      <c r="B11" s="1000"/>
      <c r="C11" s="713" t="s">
        <v>1260</v>
      </c>
      <c r="D11" s="706"/>
    </row>
    <row r="12" spans="1:4" ht="21" customHeight="1" x14ac:dyDescent="0.25">
      <c r="A12" s="514">
        <v>1</v>
      </c>
      <c r="B12" s="714" t="s">
        <v>728</v>
      </c>
      <c r="C12" s="708" t="s">
        <v>738</v>
      </c>
      <c r="D12" s="706"/>
    </row>
    <row r="13" spans="1:4" ht="54" customHeight="1" x14ac:dyDescent="0.25">
      <c r="A13" s="515">
        <v>1</v>
      </c>
      <c r="B13" s="714" t="s">
        <v>739</v>
      </c>
      <c r="C13" s="715" t="s">
        <v>1319</v>
      </c>
      <c r="D13" s="706"/>
    </row>
    <row r="14" spans="1:4" ht="122.25" customHeight="1" x14ac:dyDescent="0.25">
      <c r="A14" s="515">
        <v>1</v>
      </c>
      <c r="B14" s="716" t="s">
        <v>1320</v>
      </c>
      <c r="C14" s="717" t="s">
        <v>740</v>
      </c>
      <c r="D14" s="706"/>
    </row>
    <row r="15" spans="1:4" ht="69.75" customHeight="1" x14ac:dyDescent="0.25">
      <c r="A15" s="515">
        <v>1</v>
      </c>
      <c r="B15" s="716" t="s">
        <v>1321</v>
      </c>
      <c r="C15" s="718" t="s">
        <v>1322</v>
      </c>
      <c r="D15" s="706"/>
    </row>
    <row r="16" spans="1:4" ht="69.75" customHeight="1" x14ac:dyDescent="0.25">
      <c r="A16" s="515">
        <v>1</v>
      </c>
      <c r="B16" s="716" t="s">
        <v>1323</v>
      </c>
      <c r="C16" s="717" t="s">
        <v>741</v>
      </c>
      <c r="D16" s="706"/>
    </row>
    <row r="17" spans="1:4" ht="129" customHeight="1" x14ac:dyDescent="0.25">
      <c r="A17" s="514">
        <v>2</v>
      </c>
      <c r="B17" s="719" t="s">
        <v>742</v>
      </c>
      <c r="C17" s="717" t="s">
        <v>743</v>
      </c>
      <c r="D17" s="708"/>
    </row>
    <row r="18" spans="1:4" ht="54.75" customHeight="1" x14ac:dyDescent="0.25">
      <c r="A18" s="514">
        <v>2</v>
      </c>
      <c r="B18" s="719" t="s">
        <v>744</v>
      </c>
      <c r="C18" s="720" t="s">
        <v>1328</v>
      </c>
      <c r="D18" s="706"/>
    </row>
    <row r="19" spans="1:4" ht="84" customHeight="1" x14ac:dyDescent="0.25">
      <c r="A19" s="592">
        <v>3</v>
      </c>
      <c r="B19" s="719" t="s">
        <v>162</v>
      </c>
      <c r="C19" s="721" t="s">
        <v>745</v>
      </c>
      <c r="D19" s="722"/>
    </row>
    <row r="20" spans="1:4" ht="54" customHeight="1" x14ac:dyDescent="0.25">
      <c r="A20" s="592">
        <v>3</v>
      </c>
      <c r="B20" s="719" t="s">
        <v>746</v>
      </c>
      <c r="C20" s="721" t="s">
        <v>747</v>
      </c>
      <c r="D20" s="723"/>
    </row>
    <row r="21" spans="1:4" ht="42.75" customHeight="1" x14ac:dyDescent="0.25">
      <c r="A21" s="593">
        <v>3</v>
      </c>
      <c r="B21" s="719" t="s">
        <v>748</v>
      </c>
      <c r="C21" s="721" t="s">
        <v>749</v>
      </c>
      <c r="D21" s="723"/>
    </row>
    <row r="22" spans="1:4" ht="69.75" customHeight="1" x14ac:dyDescent="0.25">
      <c r="A22" s="648">
        <v>3</v>
      </c>
      <c r="B22" s="719" t="s">
        <v>750</v>
      </c>
      <c r="C22" s="721" t="s">
        <v>1116</v>
      </c>
      <c r="D22" s="722"/>
    </row>
    <row r="23" spans="1:4" ht="51" customHeight="1" x14ac:dyDescent="0.25">
      <c r="A23" s="648">
        <v>3</v>
      </c>
      <c r="B23" s="711" t="s">
        <v>838</v>
      </c>
      <c r="C23" s="691" t="s">
        <v>1324</v>
      </c>
      <c r="D23" s="724" t="s">
        <v>1355</v>
      </c>
    </row>
    <row r="24" spans="1:4" ht="124.5" customHeight="1" x14ac:dyDescent="0.25">
      <c r="A24" s="592">
        <v>4</v>
      </c>
      <c r="B24" s="719" t="s">
        <v>751</v>
      </c>
      <c r="C24" s="717" t="s">
        <v>752</v>
      </c>
      <c r="D24" s="725"/>
    </row>
    <row r="25" spans="1:4" ht="52.95" customHeight="1" x14ac:dyDescent="0.25">
      <c r="A25" s="648">
        <v>4</v>
      </c>
      <c r="B25" s="711" t="s">
        <v>838</v>
      </c>
      <c r="C25" s="691" t="s">
        <v>1325</v>
      </c>
      <c r="D25" s="712" t="s">
        <v>1356</v>
      </c>
    </row>
    <row r="26" spans="1:4" ht="58.95" customHeight="1" x14ac:dyDescent="0.25">
      <c r="A26" s="648">
        <v>5</v>
      </c>
      <c r="B26" s="711" t="s">
        <v>838</v>
      </c>
      <c r="C26" s="691" t="s">
        <v>1326</v>
      </c>
      <c r="D26" s="712" t="s">
        <v>1357</v>
      </c>
    </row>
    <row r="27" spans="1:4" ht="99.75" customHeight="1" x14ac:dyDescent="0.25">
      <c r="A27" s="592">
        <v>6</v>
      </c>
      <c r="B27" s="719" t="s">
        <v>753</v>
      </c>
      <c r="C27" s="726" t="s">
        <v>1327</v>
      </c>
      <c r="D27" s="706"/>
    </row>
    <row r="28" spans="1:4" ht="93.75" customHeight="1" x14ac:dyDescent="0.25">
      <c r="A28" s="592">
        <v>6</v>
      </c>
      <c r="B28" s="719" t="s">
        <v>754</v>
      </c>
      <c r="C28" s="718" t="s">
        <v>1348</v>
      </c>
      <c r="D28" s="706"/>
    </row>
    <row r="29" spans="1:4" ht="45.75" customHeight="1" x14ac:dyDescent="0.25">
      <c r="A29" s="592">
        <v>6</v>
      </c>
      <c r="B29" s="719" t="s">
        <v>755</v>
      </c>
      <c r="C29" s="718" t="s">
        <v>1329</v>
      </c>
      <c r="D29" s="706"/>
    </row>
    <row r="30" spans="1:4" ht="111" customHeight="1" x14ac:dyDescent="0.25">
      <c r="A30" s="592">
        <v>6</v>
      </c>
      <c r="B30" s="719" t="s">
        <v>756</v>
      </c>
      <c r="C30" s="718" t="s">
        <v>1349</v>
      </c>
      <c r="D30" s="706"/>
    </row>
    <row r="31" spans="1:4" ht="39.6" x14ac:dyDescent="0.25">
      <c r="A31" s="592">
        <v>6</v>
      </c>
      <c r="B31" s="719" t="s">
        <v>757</v>
      </c>
      <c r="C31" s="718" t="s">
        <v>1330</v>
      </c>
      <c r="D31" s="706"/>
    </row>
    <row r="32" spans="1:4" ht="173.25" customHeight="1" x14ac:dyDescent="0.25">
      <c r="A32" s="592">
        <v>6</v>
      </c>
      <c r="B32" s="719" t="s">
        <v>758</v>
      </c>
      <c r="C32" s="717" t="s">
        <v>759</v>
      </c>
      <c r="D32" s="706"/>
    </row>
    <row r="33" spans="1:4" ht="69.75" customHeight="1" x14ac:dyDescent="0.25">
      <c r="A33" s="592">
        <v>6</v>
      </c>
      <c r="B33" s="727" t="s">
        <v>760</v>
      </c>
      <c r="C33" s="717" t="s">
        <v>761</v>
      </c>
      <c r="D33" s="706"/>
    </row>
    <row r="34" spans="1:4" ht="53.25" customHeight="1" x14ac:dyDescent="0.25">
      <c r="A34" s="592">
        <v>6</v>
      </c>
      <c r="B34" s="728" t="s">
        <v>1229</v>
      </c>
      <c r="C34" s="729" t="s">
        <v>762</v>
      </c>
      <c r="D34" s="730"/>
    </row>
    <row r="35" spans="1:4" ht="77.25" customHeight="1" x14ac:dyDescent="0.25">
      <c r="A35" s="592">
        <v>6</v>
      </c>
      <c r="B35" s="719" t="s">
        <v>763</v>
      </c>
      <c r="C35" s="705" t="s">
        <v>764</v>
      </c>
      <c r="D35" s="706"/>
    </row>
    <row r="36" spans="1:4" ht="45.75" customHeight="1" x14ac:dyDescent="0.25">
      <c r="A36" s="592">
        <v>6</v>
      </c>
      <c r="B36" s="719" t="s">
        <v>765</v>
      </c>
      <c r="C36" s="717" t="s">
        <v>766</v>
      </c>
      <c r="D36" s="706"/>
    </row>
    <row r="37" spans="1:4" ht="47.25" customHeight="1" x14ac:dyDescent="0.25">
      <c r="A37" s="592">
        <v>6</v>
      </c>
      <c r="B37" s="719" t="s">
        <v>767</v>
      </c>
      <c r="C37" s="717" t="s">
        <v>768</v>
      </c>
      <c r="D37" s="706"/>
    </row>
    <row r="38" spans="1:4" ht="39.6" x14ac:dyDescent="0.25">
      <c r="A38" s="592">
        <v>6</v>
      </c>
      <c r="B38" s="719" t="s">
        <v>769</v>
      </c>
      <c r="C38" s="717" t="s">
        <v>770</v>
      </c>
      <c r="D38" s="706"/>
    </row>
    <row r="39" spans="1:4" ht="39.6" x14ac:dyDescent="0.25">
      <c r="A39" s="592">
        <v>6</v>
      </c>
      <c r="B39" s="719" t="s">
        <v>771</v>
      </c>
      <c r="C39" s="717" t="s">
        <v>772</v>
      </c>
      <c r="D39" s="706"/>
    </row>
    <row r="40" spans="1:4" s="159" customFormat="1" ht="39.6" x14ac:dyDescent="0.25">
      <c r="A40" s="592">
        <v>6</v>
      </c>
      <c r="B40" s="727" t="s">
        <v>773</v>
      </c>
      <c r="C40" s="717" t="s">
        <v>774</v>
      </c>
      <c r="D40" s="723"/>
    </row>
    <row r="41" spans="1:4" s="159" customFormat="1" ht="57.75" customHeight="1" x14ac:dyDescent="0.25">
      <c r="A41" s="592">
        <v>6</v>
      </c>
      <c r="B41" s="727" t="s">
        <v>775</v>
      </c>
      <c r="C41" s="718" t="s">
        <v>1331</v>
      </c>
      <c r="D41" s="731"/>
    </row>
    <row r="42" spans="1:4" s="159" customFormat="1" ht="30.75" customHeight="1" x14ac:dyDescent="0.25">
      <c r="A42" s="592">
        <v>7</v>
      </c>
      <c r="B42" s="719" t="s">
        <v>776</v>
      </c>
      <c r="C42" s="717" t="s">
        <v>777</v>
      </c>
      <c r="D42" s="723"/>
    </row>
    <row r="43" spans="1:4" ht="114.75" customHeight="1" x14ac:dyDescent="0.25">
      <c r="A43" s="592">
        <v>7</v>
      </c>
      <c r="B43" s="719" t="s">
        <v>778</v>
      </c>
      <c r="C43" s="705" t="s">
        <v>779</v>
      </c>
      <c r="D43" s="706"/>
    </row>
    <row r="44" spans="1:4" ht="42" customHeight="1" x14ac:dyDescent="0.25">
      <c r="A44" s="592">
        <v>7</v>
      </c>
      <c r="B44" s="719" t="s">
        <v>780</v>
      </c>
      <c r="C44" s="708" t="s">
        <v>781</v>
      </c>
      <c r="D44" s="706"/>
    </row>
    <row r="45" spans="1:4" ht="39.75" customHeight="1" x14ac:dyDescent="0.25">
      <c r="A45" s="592">
        <v>7</v>
      </c>
      <c r="B45" s="719" t="s">
        <v>782</v>
      </c>
      <c r="C45" s="717" t="s">
        <v>783</v>
      </c>
      <c r="D45" s="706"/>
    </row>
    <row r="46" spans="1:4" ht="54" customHeight="1" x14ac:dyDescent="0.25">
      <c r="A46" s="592">
        <v>8</v>
      </c>
      <c r="B46" s="719" t="s">
        <v>838</v>
      </c>
      <c r="C46" s="715" t="s">
        <v>1332</v>
      </c>
      <c r="D46" s="706"/>
    </row>
    <row r="47" spans="1:4" ht="114" customHeight="1" x14ac:dyDescent="0.25">
      <c r="A47" s="592">
        <v>8</v>
      </c>
      <c r="B47" s="719" t="s">
        <v>307</v>
      </c>
      <c r="C47" s="732" t="s">
        <v>1115</v>
      </c>
      <c r="D47" s="732"/>
    </row>
    <row r="48" spans="1:4" ht="114.75" customHeight="1" x14ac:dyDescent="0.25">
      <c r="A48" s="592">
        <v>8</v>
      </c>
      <c r="B48" s="719" t="s">
        <v>784</v>
      </c>
      <c r="C48" s="717" t="s">
        <v>785</v>
      </c>
      <c r="D48" s="733"/>
    </row>
    <row r="49" spans="1:4" ht="30" customHeight="1" x14ac:dyDescent="0.25">
      <c r="A49" s="592">
        <v>8</v>
      </c>
      <c r="B49" s="719" t="s">
        <v>1114</v>
      </c>
      <c r="C49" s="708" t="s">
        <v>786</v>
      </c>
      <c r="D49" s="706"/>
    </row>
    <row r="50" spans="1:4" ht="265.5" customHeight="1" x14ac:dyDescent="0.25">
      <c r="A50" s="592">
        <v>9</v>
      </c>
      <c r="B50" s="719" t="s">
        <v>728</v>
      </c>
      <c r="C50" s="718" t="s">
        <v>1333</v>
      </c>
      <c r="D50" s="706"/>
    </row>
    <row r="51" spans="1:4" ht="69" customHeight="1" x14ac:dyDescent="0.25">
      <c r="A51" s="592">
        <v>9</v>
      </c>
      <c r="B51" s="719" t="s">
        <v>159</v>
      </c>
      <c r="C51" s="708" t="s">
        <v>1121</v>
      </c>
      <c r="D51" s="706"/>
    </row>
    <row r="52" spans="1:4" ht="69.75" customHeight="1" x14ac:dyDescent="0.25">
      <c r="A52" s="592">
        <v>9</v>
      </c>
      <c r="B52" s="727" t="s">
        <v>389</v>
      </c>
      <c r="C52" s="705" t="s">
        <v>1122</v>
      </c>
      <c r="D52" s="706"/>
    </row>
    <row r="53" spans="1:4" ht="53.25" customHeight="1" x14ac:dyDescent="0.25">
      <c r="A53" s="592">
        <v>9</v>
      </c>
      <c r="B53" s="719" t="s">
        <v>398</v>
      </c>
      <c r="C53" s="734" t="s">
        <v>1123</v>
      </c>
      <c r="D53" s="706"/>
    </row>
    <row r="54" spans="1:4" ht="107.25" customHeight="1" x14ac:dyDescent="0.25">
      <c r="A54" s="591">
        <v>9</v>
      </c>
      <c r="B54" s="727" t="s">
        <v>787</v>
      </c>
      <c r="C54" s="735" t="s">
        <v>788</v>
      </c>
      <c r="D54" s="706"/>
    </row>
    <row r="55" spans="1:4" ht="18" customHeight="1" x14ac:dyDescent="0.25">
      <c r="A55" s="594"/>
      <c r="B55" s="736"/>
      <c r="C55" s="516" t="s">
        <v>789</v>
      </c>
      <c r="D55" s="706"/>
    </row>
    <row r="56" spans="1:4" ht="53.25" customHeight="1" x14ac:dyDescent="0.25">
      <c r="A56" s="594"/>
      <c r="B56" s="736"/>
      <c r="C56" s="735" t="s">
        <v>790</v>
      </c>
      <c r="D56" s="706"/>
    </row>
    <row r="57" spans="1:4" ht="21.75" customHeight="1" x14ac:dyDescent="0.25">
      <c r="A57" s="594"/>
      <c r="B57" s="736"/>
      <c r="C57" s="516" t="s">
        <v>791</v>
      </c>
      <c r="D57" s="706"/>
    </row>
    <row r="58" spans="1:4" ht="52.5" customHeight="1" x14ac:dyDescent="0.25">
      <c r="A58" s="594"/>
      <c r="B58" s="736"/>
      <c r="C58" s="735" t="s">
        <v>792</v>
      </c>
      <c r="D58" s="706"/>
    </row>
    <row r="59" spans="1:4" ht="19.5" customHeight="1" x14ac:dyDescent="0.25">
      <c r="A59" s="595"/>
      <c r="B59" s="736"/>
      <c r="C59" s="516" t="s">
        <v>793</v>
      </c>
      <c r="D59" s="706"/>
    </row>
    <row r="60" spans="1:4" ht="51" customHeight="1" x14ac:dyDescent="0.25">
      <c r="A60" s="595"/>
      <c r="B60" s="736"/>
      <c r="C60" s="735" t="s">
        <v>794</v>
      </c>
      <c r="D60" s="706"/>
    </row>
    <row r="61" spans="1:4" ht="19.5" customHeight="1" x14ac:dyDescent="0.25">
      <c r="A61" s="595"/>
      <c r="B61" s="736"/>
      <c r="C61" s="516" t="s">
        <v>795</v>
      </c>
      <c r="D61" s="706"/>
    </row>
    <row r="62" spans="1:4" ht="29.25" customHeight="1" x14ac:dyDescent="0.25">
      <c r="A62" s="595"/>
      <c r="B62" s="736"/>
      <c r="C62" s="735" t="s">
        <v>796</v>
      </c>
      <c r="D62" s="706"/>
    </row>
    <row r="63" spans="1:4" ht="19.5" customHeight="1" x14ac:dyDescent="0.25">
      <c r="A63" s="596"/>
      <c r="B63" s="736"/>
      <c r="C63" s="516" t="s">
        <v>797</v>
      </c>
      <c r="D63" s="706"/>
    </row>
    <row r="64" spans="1:4" ht="138.75" customHeight="1" x14ac:dyDescent="0.25">
      <c r="A64" s="592">
        <v>9</v>
      </c>
      <c r="B64" s="719" t="s">
        <v>798</v>
      </c>
      <c r="C64" s="705" t="s">
        <v>799</v>
      </c>
      <c r="D64" s="706"/>
    </row>
    <row r="65" spans="1:4" ht="171" customHeight="1" x14ac:dyDescent="0.25">
      <c r="A65" s="592">
        <v>9</v>
      </c>
      <c r="B65" s="710" t="s">
        <v>387</v>
      </c>
      <c r="C65" s="705" t="s">
        <v>800</v>
      </c>
      <c r="D65" s="706"/>
    </row>
    <row r="66" spans="1:4" ht="57" customHeight="1" x14ac:dyDescent="0.25">
      <c r="A66" s="592">
        <v>9</v>
      </c>
      <c r="B66" s="710" t="s">
        <v>801</v>
      </c>
      <c r="C66" s="705" t="s">
        <v>802</v>
      </c>
      <c r="D66" s="706"/>
    </row>
    <row r="67" spans="1:4" ht="213" customHeight="1" x14ac:dyDescent="0.25">
      <c r="A67" s="592">
        <v>9</v>
      </c>
      <c r="B67" s="719" t="s">
        <v>803</v>
      </c>
      <c r="C67" s="717" t="s">
        <v>804</v>
      </c>
      <c r="D67" s="737"/>
    </row>
    <row r="68" spans="1:4" ht="60" customHeight="1" x14ac:dyDescent="0.25">
      <c r="A68" s="592">
        <v>9</v>
      </c>
      <c r="B68" s="719" t="s">
        <v>415</v>
      </c>
      <c r="C68" s="738" t="s">
        <v>805</v>
      </c>
      <c r="D68" s="739"/>
    </row>
    <row r="69" spans="1:4" ht="57.75" customHeight="1" x14ac:dyDescent="0.25">
      <c r="A69" s="591">
        <v>10</v>
      </c>
      <c r="B69" s="719" t="s">
        <v>728</v>
      </c>
      <c r="C69" s="740" t="s">
        <v>806</v>
      </c>
      <c r="D69" s="732"/>
    </row>
    <row r="70" spans="1:4" ht="60" customHeight="1" x14ac:dyDescent="0.25">
      <c r="A70" s="591">
        <v>10</v>
      </c>
      <c r="B70" s="719" t="s">
        <v>420</v>
      </c>
      <c r="C70" s="738" t="s">
        <v>807</v>
      </c>
      <c r="D70" s="732"/>
    </row>
    <row r="71" spans="1:4" ht="60" customHeight="1" x14ac:dyDescent="0.25">
      <c r="A71" s="591">
        <v>10</v>
      </c>
      <c r="B71" s="719" t="s">
        <v>808</v>
      </c>
      <c r="C71" s="721" t="s">
        <v>809</v>
      </c>
      <c r="D71" s="739"/>
    </row>
    <row r="72" spans="1:4" ht="60" customHeight="1" x14ac:dyDescent="0.25">
      <c r="A72" s="591">
        <v>10</v>
      </c>
      <c r="B72" s="719" t="s">
        <v>810</v>
      </c>
      <c r="C72" s="721" t="s">
        <v>811</v>
      </c>
      <c r="D72" s="739"/>
    </row>
    <row r="73" spans="1:4" ht="67.5" customHeight="1" x14ac:dyDescent="0.25">
      <c r="A73" s="591">
        <v>10</v>
      </c>
      <c r="B73" s="719" t="s">
        <v>159</v>
      </c>
      <c r="C73" s="721" t="s">
        <v>812</v>
      </c>
      <c r="D73" s="739"/>
    </row>
    <row r="74" spans="1:4" ht="81.75" customHeight="1" x14ac:dyDescent="0.25">
      <c r="A74" s="591">
        <v>10</v>
      </c>
      <c r="B74" s="719" t="s">
        <v>813</v>
      </c>
      <c r="C74" s="721" t="s">
        <v>814</v>
      </c>
      <c r="D74" s="739"/>
    </row>
    <row r="75" spans="1:4" ht="60" customHeight="1" x14ac:dyDescent="0.25">
      <c r="A75" s="591">
        <v>10</v>
      </c>
      <c r="B75" s="719" t="s">
        <v>815</v>
      </c>
      <c r="C75" s="721" t="s">
        <v>816</v>
      </c>
      <c r="D75" s="739"/>
    </row>
    <row r="76" spans="1:4" ht="60" customHeight="1" x14ac:dyDescent="0.25">
      <c r="A76" s="1001">
        <v>10</v>
      </c>
      <c r="B76" s="1003" t="s">
        <v>458</v>
      </c>
      <c r="C76" s="741" t="s">
        <v>1125</v>
      </c>
      <c r="D76" s="742"/>
    </row>
    <row r="77" spans="1:4" ht="19.5" customHeight="1" x14ac:dyDescent="0.25">
      <c r="A77" s="1002"/>
      <c r="B77" s="1004"/>
      <c r="C77" s="614" t="s">
        <v>817</v>
      </c>
      <c r="D77" s="723"/>
    </row>
    <row r="78" spans="1:4" ht="44.25" customHeight="1" x14ac:dyDescent="0.25">
      <c r="A78" s="591">
        <v>10</v>
      </c>
      <c r="B78" s="719" t="s">
        <v>818</v>
      </c>
      <c r="C78" s="743" t="s">
        <v>819</v>
      </c>
      <c r="D78" s="744"/>
    </row>
    <row r="79" spans="1:4" ht="45.75" customHeight="1" x14ac:dyDescent="0.25">
      <c r="A79" s="591">
        <v>10</v>
      </c>
      <c r="B79" s="719" t="s">
        <v>820</v>
      </c>
      <c r="C79" s="721" t="s">
        <v>821</v>
      </c>
      <c r="D79" s="739"/>
    </row>
    <row r="80" spans="1:4" ht="46.5" customHeight="1" x14ac:dyDescent="0.25">
      <c r="A80" s="591">
        <v>10</v>
      </c>
      <c r="B80" s="719" t="s">
        <v>822</v>
      </c>
      <c r="C80" s="721" t="s">
        <v>823</v>
      </c>
      <c r="D80" s="739"/>
    </row>
    <row r="81" spans="1:4" ht="86.25" customHeight="1" x14ac:dyDescent="0.25">
      <c r="A81" s="591">
        <v>10</v>
      </c>
      <c r="B81" s="719" t="s">
        <v>824</v>
      </c>
      <c r="C81" s="721" t="s">
        <v>825</v>
      </c>
      <c r="D81" s="739"/>
    </row>
    <row r="82" spans="1:4" ht="26.4" x14ac:dyDescent="0.25">
      <c r="A82" s="591">
        <v>10</v>
      </c>
      <c r="B82" s="719" t="s">
        <v>826</v>
      </c>
      <c r="C82" s="721" t="s">
        <v>827</v>
      </c>
      <c r="D82" s="739"/>
    </row>
    <row r="83" spans="1:4" ht="328.5" customHeight="1" x14ac:dyDescent="0.25">
      <c r="A83" s="591">
        <v>10</v>
      </c>
      <c r="B83" s="719" t="s">
        <v>828</v>
      </c>
      <c r="C83" s="717" t="s">
        <v>829</v>
      </c>
      <c r="D83" s="739"/>
    </row>
    <row r="84" spans="1:4" ht="125.25" customHeight="1" x14ac:dyDescent="0.25">
      <c r="A84" s="591">
        <v>10</v>
      </c>
      <c r="B84" s="719" t="s">
        <v>830</v>
      </c>
      <c r="C84" s="718" t="s">
        <v>1334</v>
      </c>
      <c r="D84" s="739"/>
    </row>
    <row r="85" spans="1:4" ht="72" customHeight="1" x14ac:dyDescent="0.25">
      <c r="A85" s="591">
        <v>10</v>
      </c>
      <c r="B85" s="716" t="s">
        <v>1335</v>
      </c>
      <c r="C85" s="715" t="s">
        <v>1336</v>
      </c>
      <c r="D85" s="739"/>
    </row>
    <row r="86" spans="1:4" ht="69" customHeight="1" x14ac:dyDescent="0.25">
      <c r="A86" s="591">
        <v>10</v>
      </c>
      <c r="B86" s="716" t="s">
        <v>1337</v>
      </c>
      <c r="C86" s="717" t="s">
        <v>1338</v>
      </c>
      <c r="D86" s="739"/>
    </row>
    <row r="87" spans="1:4" ht="108.75" customHeight="1" x14ac:dyDescent="0.25">
      <c r="A87" s="591">
        <v>10</v>
      </c>
      <c r="B87" s="719" t="s">
        <v>831</v>
      </c>
      <c r="C87" s="717" t="s">
        <v>1124</v>
      </c>
      <c r="D87" s="739"/>
    </row>
    <row r="88" spans="1:4" ht="130.5" customHeight="1" x14ac:dyDescent="0.25">
      <c r="A88" s="641">
        <v>10</v>
      </c>
      <c r="B88" s="719" t="s">
        <v>832</v>
      </c>
      <c r="C88" s="717" t="s">
        <v>833</v>
      </c>
      <c r="D88" s="742"/>
    </row>
    <row r="89" spans="1:4" customFormat="1" ht="81" customHeight="1" x14ac:dyDescent="0.25">
      <c r="A89" s="745" t="s">
        <v>1186</v>
      </c>
      <c r="B89" s="746" t="s">
        <v>728</v>
      </c>
      <c r="C89" s="747" t="s">
        <v>1263</v>
      </c>
      <c r="D89" s="748" t="s">
        <v>1352</v>
      </c>
    </row>
    <row r="90" spans="1:4" customFormat="1" ht="36" customHeight="1" x14ac:dyDescent="0.25">
      <c r="A90" s="745" t="s">
        <v>1186</v>
      </c>
      <c r="B90" s="746" t="s">
        <v>1227</v>
      </c>
      <c r="C90" s="749" t="s">
        <v>1226</v>
      </c>
      <c r="D90" s="750" t="s">
        <v>1352</v>
      </c>
    </row>
    <row r="91" spans="1:4" customFormat="1" ht="57" customHeight="1" x14ac:dyDescent="0.25">
      <c r="A91" s="745" t="s">
        <v>1186</v>
      </c>
      <c r="B91" s="746" t="s">
        <v>1225</v>
      </c>
      <c r="C91" s="749" t="s">
        <v>1231</v>
      </c>
      <c r="D91" s="750" t="s">
        <v>1352</v>
      </c>
    </row>
    <row r="92" spans="1:4" customFormat="1" ht="37.950000000000003" customHeight="1" x14ac:dyDescent="0.25">
      <c r="A92" s="745" t="s">
        <v>1186</v>
      </c>
      <c r="B92" s="746" t="s">
        <v>1224</v>
      </c>
      <c r="C92" s="749" t="s">
        <v>1223</v>
      </c>
      <c r="D92" s="750" t="s">
        <v>1352</v>
      </c>
    </row>
    <row r="93" spans="1:4" customFormat="1" ht="87" customHeight="1" x14ac:dyDescent="0.25">
      <c r="A93" s="745" t="s">
        <v>1186</v>
      </c>
      <c r="B93" s="746" t="s">
        <v>1222</v>
      </c>
      <c r="C93" s="751" t="s">
        <v>1353</v>
      </c>
      <c r="D93" s="750" t="s">
        <v>1352</v>
      </c>
    </row>
    <row r="94" spans="1:4" customFormat="1" ht="46.5" customHeight="1" x14ac:dyDescent="0.25">
      <c r="A94" s="745" t="s">
        <v>1186</v>
      </c>
      <c r="B94" s="746" t="s">
        <v>1221</v>
      </c>
      <c r="C94" s="749" t="s">
        <v>1232</v>
      </c>
      <c r="D94" s="750" t="s">
        <v>1352</v>
      </c>
    </row>
    <row r="95" spans="1:4" customFormat="1" ht="36" customHeight="1" x14ac:dyDescent="0.25">
      <c r="A95" s="745" t="s">
        <v>1186</v>
      </c>
      <c r="B95" s="746" t="s">
        <v>1220</v>
      </c>
      <c r="C95" s="752" t="s">
        <v>1233</v>
      </c>
      <c r="D95" s="750" t="s">
        <v>1352</v>
      </c>
    </row>
    <row r="96" spans="1:4" customFormat="1" ht="33.450000000000003" customHeight="1" x14ac:dyDescent="0.25">
      <c r="A96" s="745" t="s">
        <v>1186</v>
      </c>
      <c r="B96" s="746" t="s">
        <v>1219</v>
      </c>
      <c r="C96" s="749" t="s">
        <v>1218</v>
      </c>
      <c r="D96" s="750" t="s">
        <v>1352</v>
      </c>
    </row>
    <row r="97" spans="1:4" customFormat="1" ht="35.25" customHeight="1" x14ac:dyDescent="0.25">
      <c r="A97" s="745" t="s">
        <v>1186</v>
      </c>
      <c r="B97" s="746" t="s">
        <v>1217</v>
      </c>
      <c r="C97" s="749" t="s">
        <v>1216</v>
      </c>
      <c r="D97" s="750" t="s">
        <v>1352</v>
      </c>
    </row>
    <row r="98" spans="1:4" customFormat="1" ht="53.25" customHeight="1" x14ac:dyDescent="0.25">
      <c r="A98" s="745" t="s">
        <v>1186</v>
      </c>
      <c r="B98" s="746" t="s">
        <v>1215</v>
      </c>
      <c r="C98" s="749" t="s">
        <v>1234</v>
      </c>
      <c r="D98" s="750" t="s">
        <v>1352</v>
      </c>
    </row>
    <row r="99" spans="1:4" customFormat="1" ht="35.25" customHeight="1" x14ac:dyDescent="0.25">
      <c r="A99" s="745" t="s">
        <v>1186</v>
      </c>
      <c r="B99" s="746" t="s">
        <v>1214</v>
      </c>
      <c r="C99" s="749" t="s">
        <v>1235</v>
      </c>
      <c r="D99" s="750" t="s">
        <v>1352</v>
      </c>
    </row>
    <row r="100" spans="1:4" customFormat="1" ht="42.45" customHeight="1" x14ac:dyDescent="0.25">
      <c r="A100" s="745" t="s">
        <v>1186</v>
      </c>
      <c r="B100" s="746" t="s">
        <v>1213</v>
      </c>
      <c r="C100" s="753" t="s">
        <v>1212</v>
      </c>
      <c r="D100" s="750" t="s">
        <v>1352</v>
      </c>
    </row>
    <row r="101" spans="1:4" customFormat="1" ht="33.450000000000003" customHeight="1" x14ac:dyDescent="0.25">
      <c r="A101" s="745" t="s">
        <v>1186</v>
      </c>
      <c r="B101" s="746" t="s">
        <v>1211</v>
      </c>
      <c r="C101" s="749" t="s">
        <v>1236</v>
      </c>
      <c r="D101" s="750" t="s">
        <v>1352</v>
      </c>
    </row>
    <row r="102" spans="1:4" customFormat="1" ht="40.950000000000003" customHeight="1" x14ac:dyDescent="0.25">
      <c r="A102" s="745" t="s">
        <v>1186</v>
      </c>
      <c r="B102" s="746" t="s">
        <v>1210</v>
      </c>
      <c r="C102" s="749" t="s">
        <v>1237</v>
      </c>
      <c r="D102" s="750" t="s">
        <v>1352</v>
      </c>
    </row>
    <row r="103" spans="1:4" customFormat="1" ht="75.45" customHeight="1" x14ac:dyDescent="0.25">
      <c r="A103" s="987" t="s">
        <v>1186</v>
      </c>
      <c r="B103" s="989" t="s">
        <v>1209</v>
      </c>
      <c r="C103" s="754" t="s">
        <v>1238</v>
      </c>
      <c r="D103" s="755" t="s">
        <v>1352</v>
      </c>
    </row>
    <row r="104" spans="1:4" customFormat="1" ht="15.45" customHeight="1" x14ac:dyDescent="0.25">
      <c r="A104" s="988"/>
      <c r="B104" s="990"/>
      <c r="C104" s="756" t="s">
        <v>1208</v>
      </c>
      <c r="D104" s="757"/>
    </row>
    <row r="105" spans="1:4" customFormat="1" ht="31.95" customHeight="1" x14ac:dyDescent="0.25">
      <c r="A105" s="745" t="s">
        <v>1186</v>
      </c>
      <c r="B105" s="746" t="s">
        <v>1207</v>
      </c>
      <c r="C105" s="753" t="s">
        <v>1239</v>
      </c>
      <c r="D105" s="750" t="s">
        <v>1352</v>
      </c>
    </row>
    <row r="106" spans="1:4" customFormat="1" ht="39" customHeight="1" x14ac:dyDescent="0.25">
      <c r="A106" s="745" t="s">
        <v>1186</v>
      </c>
      <c r="B106" s="746" t="s">
        <v>1206</v>
      </c>
      <c r="C106" s="749" t="s">
        <v>1240</v>
      </c>
      <c r="D106" s="750" t="s">
        <v>1352</v>
      </c>
    </row>
    <row r="107" spans="1:4" customFormat="1" ht="45.45" customHeight="1" x14ac:dyDescent="0.25">
      <c r="A107" s="745" t="s">
        <v>1186</v>
      </c>
      <c r="B107" s="746" t="s">
        <v>1205</v>
      </c>
      <c r="C107" s="749" t="s">
        <v>1241</v>
      </c>
      <c r="D107" s="750" t="s">
        <v>1352</v>
      </c>
    </row>
    <row r="108" spans="1:4" customFormat="1" ht="57.45" customHeight="1" x14ac:dyDescent="0.25">
      <c r="A108" s="745" t="s">
        <v>1186</v>
      </c>
      <c r="B108" s="746" t="s">
        <v>1204</v>
      </c>
      <c r="C108" s="749" t="s">
        <v>1242</v>
      </c>
      <c r="D108" s="750" t="s">
        <v>1352</v>
      </c>
    </row>
    <row r="109" spans="1:4" customFormat="1" ht="43.95" customHeight="1" x14ac:dyDescent="0.25">
      <c r="A109" s="745" t="s">
        <v>1186</v>
      </c>
      <c r="B109" s="746" t="s">
        <v>1203</v>
      </c>
      <c r="C109" s="749" t="s">
        <v>1202</v>
      </c>
      <c r="D109" s="750" t="s">
        <v>1352</v>
      </c>
    </row>
    <row r="110" spans="1:4" customFormat="1" ht="30" customHeight="1" x14ac:dyDescent="0.25">
      <c r="A110" s="745" t="s">
        <v>1186</v>
      </c>
      <c r="B110" s="746" t="s">
        <v>1250</v>
      </c>
      <c r="C110" s="749" t="s">
        <v>1201</v>
      </c>
      <c r="D110" s="750" t="s">
        <v>1352</v>
      </c>
    </row>
    <row r="111" spans="1:4" customFormat="1" ht="39" customHeight="1" x14ac:dyDescent="0.25">
      <c r="A111" s="745" t="s">
        <v>1186</v>
      </c>
      <c r="B111" s="746" t="s">
        <v>1251</v>
      </c>
      <c r="C111" s="749" t="s">
        <v>1200</v>
      </c>
      <c r="D111" s="750" t="s">
        <v>1352</v>
      </c>
    </row>
    <row r="112" spans="1:4" customFormat="1" ht="35.25" customHeight="1" x14ac:dyDescent="0.25">
      <c r="A112" s="745" t="s">
        <v>1186</v>
      </c>
      <c r="B112" s="746" t="s">
        <v>1199</v>
      </c>
      <c r="C112" s="749" t="s">
        <v>1198</v>
      </c>
      <c r="D112" s="750" t="s">
        <v>1352</v>
      </c>
    </row>
    <row r="113" spans="1:4" customFormat="1" ht="39" customHeight="1" x14ac:dyDescent="0.25">
      <c r="A113" s="745" t="s">
        <v>1186</v>
      </c>
      <c r="B113" s="746" t="s">
        <v>1197</v>
      </c>
      <c r="C113" s="749" t="s">
        <v>1196</v>
      </c>
      <c r="D113" s="750" t="s">
        <v>1352</v>
      </c>
    </row>
    <row r="114" spans="1:4" customFormat="1" ht="33.75" customHeight="1" x14ac:dyDescent="0.25">
      <c r="A114" s="745" t="s">
        <v>1186</v>
      </c>
      <c r="B114" s="746" t="s">
        <v>94</v>
      </c>
      <c r="C114" s="749" t="s">
        <v>1195</v>
      </c>
      <c r="D114" s="750" t="s">
        <v>1352</v>
      </c>
    </row>
    <row r="115" spans="1:4" customFormat="1" ht="33.75" customHeight="1" x14ac:dyDescent="0.25">
      <c r="A115" s="745" t="s">
        <v>1186</v>
      </c>
      <c r="B115" s="746" t="s">
        <v>1168</v>
      </c>
      <c r="C115" s="749" t="s">
        <v>1194</v>
      </c>
      <c r="D115" s="750" t="s">
        <v>1352</v>
      </c>
    </row>
    <row r="116" spans="1:4" customFormat="1" ht="51" customHeight="1" x14ac:dyDescent="0.25">
      <c r="A116" s="745" t="s">
        <v>1186</v>
      </c>
      <c r="B116" s="746" t="s">
        <v>1167</v>
      </c>
      <c r="C116" s="749" t="s">
        <v>1193</v>
      </c>
      <c r="D116" s="750" t="s">
        <v>1352</v>
      </c>
    </row>
    <row r="117" spans="1:4" customFormat="1" ht="33" customHeight="1" x14ac:dyDescent="0.25">
      <c r="A117" s="745" t="s">
        <v>1186</v>
      </c>
      <c r="B117" s="746" t="s">
        <v>1192</v>
      </c>
      <c r="C117" s="749" t="s">
        <v>1191</v>
      </c>
      <c r="D117" s="750" t="s">
        <v>1352</v>
      </c>
    </row>
    <row r="118" spans="1:4" customFormat="1" ht="36.75" customHeight="1" x14ac:dyDescent="0.25">
      <c r="A118" s="745" t="s">
        <v>1186</v>
      </c>
      <c r="B118" s="746" t="s">
        <v>1165</v>
      </c>
      <c r="C118" s="749" t="s">
        <v>1190</v>
      </c>
      <c r="D118" s="750" t="s">
        <v>1352</v>
      </c>
    </row>
    <row r="119" spans="1:4" customFormat="1" ht="34.950000000000003" customHeight="1" x14ac:dyDescent="0.25">
      <c r="A119" s="745" t="s">
        <v>1186</v>
      </c>
      <c r="B119" s="746" t="s">
        <v>1249</v>
      </c>
      <c r="C119" s="749" t="s">
        <v>1189</v>
      </c>
      <c r="D119" s="750" t="s">
        <v>1352</v>
      </c>
    </row>
    <row r="120" spans="1:4" customFormat="1" ht="31.5" customHeight="1" x14ac:dyDescent="0.25">
      <c r="A120" s="745" t="s">
        <v>1186</v>
      </c>
      <c r="B120" s="746" t="s">
        <v>1248</v>
      </c>
      <c r="C120" s="749" t="s">
        <v>1188</v>
      </c>
      <c r="D120" s="750" t="s">
        <v>1352</v>
      </c>
    </row>
    <row r="121" spans="1:4" customFormat="1" ht="43.5" customHeight="1" x14ac:dyDescent="0.25">
      <c r="A121" s="745" t="s">
        <v>1186</v>
      </c>
      <c r="B121" s="746" t="s">
        <v>1247</v>
      </c>
      <c r="C121" s="749" t="s">
        <v>1243</v>
      </c>
      <c r="D121" s="750" t="s">
        <v>1352</v>
      </c>
    </row>
    <row r="122" spans="1:4" customFormat="1" ht="32.549999999999997" customHeight="1" x14ac:dyDescent="0.25">
      <c r="A122" s="745" t="s">
        <v>1186</v>
      </c>
      <c r="B122" s="746" t="s">
        <v>1246</v>
      </c>
      <c r="C122" s="749" t="s">
        <v>1343</v>
      </c>
      <c r="D122" s="750" t="s">
        <v>1352</v>
      </c>
    </row>
    <row r="123" spans="1:4" customFormat="1" ht="39.6" x14ac:dyDescent="0.25">
      <c r="A123" s="745" t="s">
        <v>1186</v>
      </c>
      <c r="B123" s="746" t="s">
        <v>1245</v>
      </c>
      <c r="C123" s="749" t="s">
        <v>1187</v>
      </c>
      <c r="D123" s="750" t="s">
        <v>1352</v>
      </c>
    </row>
    <row r="124" spans="1:4" ht="81.75" customHeight="1" x14ac:dyDescent="0.25">
      <c r="A124" s="591" t="s">
        <v>834</v>
      </c>
      <c r="B124" s="758" t="s">
        <v>728</v>
      </c>
      <c r="C124" s="759" t="s">
        <v>835</v>
      </c>
      <c r="D124" s="732"/>
    </row>
    <row r="125" spans="1:4" s="8" customFormat="1" ht="29.25" customHeight="1" x14ac:dyDescent="0.25">
      <c r="A125" s="591" t="s">
        <v>834</v>
      </c>
      <c r="B125" s="758" t="s">
        <v>836</v>
      </c>
      <c r="C125" s="760" t="s">
        <v>1340</v>
      </c>
      <c r="D125" s="723"/>
    </row>
    <row r="126" spans="1:4" ht="81" customHeight="1" x14ac:dyDescent="0.25">
      <c r="A126" s="591" t="s">
        <v>834</v>
      </c>
      <c r="B126" s="719" t="s">
        <v>837</v>
      </c>
      <c r="C126" s="761" t="s">
        <v>1341</v>
      </c>
      <c r="D126" s="732"/>
    </row>
    <row r="127" spans="1:4" ht="49.5" customHeight="1" x14ac:dyDescent="0.25">
      <c r="A127" s="591" t="s">
        <v>834</v>
      </c>
      <c r="B127" s="719" t="s">
        <v>838</v>
      </c>
      <c r="C127" s="715" t="s">
        <v>1342</v>
      </c>
      <c r="D127" s="739"/>
    </row>
    <row r="128" spans="1:4" ht="79.5" customHeight="1" x14ac:dyDescent="0.25">
      <c r="A128" s="762" t="s">
        <v>839</v>
      </c>
      <c r="B128" s="758" t="s">
        <v>840</v>
      </c>
      <c r="C128" s="740" t="s">
        <v>1354</v>
      </c>
      <c r="D128" s="763"/>
    </row>
    <row r="129" spans="1:4" ht="39.6" x14ac:dyDescent="0.25">
      <c r="A129" s="762" t="s">
        <v>839</v>
      </c>
      <c r="B129" s="758" t="s">
        <v>841</v>
      </c>
      <c r="C129" s="761" t="s">
        <v>1344</v>
      </c>
      <c r="D129" s="763"/>
    </row>
    <row r="130" spans="1:4" ht="33.75" customHeight="1" x14ac:dyDescent="0.25">
      <c r="A130" s="762" t="s">
        <v>839</v>
      </c>
      <c r="B130" s="758" t="s">
        <v>842</v>
      </c>
      <c r="C130" s="738" t="s">
        <v>1110</v>
      </c>
      <c r="D130" s="763"/>
    </row>
    <row r="131" spans="1:4" ht="55.5" customHeight="1" x14ac:dyDescent="0.25">
      <c r="A131" s="762" t="s">
        <v>839</v>
      </c>
      <c r="B131" s="758" t="s">
        <v>843</v>
      </c>
      <c r="C131" s="738" t="s">
        <v>844</v>
      </c>
      <c r="D131" s="763"/>
    </row>
    <row r="132" spans="1:4" ht="39.6" x14ac:dyDescent="0.25">
      <c r="A132" s="762" t="s">
        <v>839</v>
      </c>
      <c r="B132" s="758" t="s">
        <v>845</v>
      </c>
      <c r="C132" s="738" t="s">
        <v>846</v>
      </c>
      <c r="D132" s="763"/>
    </row>
    <row r="133" spans="1:4" ht="52.8" x14ac:dyDescent="0.25">
      <c r="A133" s="762" t="s">
        <v>839</v>
      </c>
      <c r="B133" s="758" t="s">
        <v>847</v>
      </c>
      <c r="C133" s="761" t="s">
        <v>1345</v>
      </c>
      <c r="D133" s="763"/>
    </row>
    <row r="134" spans="1:4" ht="54" customHeight="1" x14ac:dyDescent="0.25">
      <c r="A134" s="762" t="s">
        <v>839</v>
      </c>
      <c r="B134" s="719" t="s">
        <v>1111</v>
      </c>
      <c r="C134" s="761" t="s">
        <v>1346</v>
      </c>
      <c r="D134" s="763"/>
    </row>
    <row r="135" spans="1:4" ht="26.4" x14ac:dyDescent="0.35">
      <c r="A135" s="762" t="s">
        <v>839</v>
      </c>
      <c r="B135" s="758" t="s">
        <v>848</v>
      </c>
      <c r="C135" s="764" t="s">
        <v>849</v>
      </c>
      <c r="D135" s="765"/>
    </row>
    <row r="136" spans="1:4" ht="39.6" x14ac:dyDescent="0.35">
      <c r="A136" s="762" t="s">
        <v>839</v>
      </c>
      <c r="B136" s="758" t="s">
        <v>850</v>
      </c>
      <c r="C136" s="764" t="s">
        <v>851</v>
      </c>
      <c r="D136" s="765"/>
    </row>
    <row r="137" spans="1:4" ht="39.6" x14ac:dyDescent="0.35">
      <c r="A137" s="762" t="s">
        <v>839</v>
      </c>
      <c r="B137" s="758" t="s">
        <v>852</v>
      </c>
      <c r="C137" s="764" t="s">
        <v>853</v>
      </c>
      <c r="D137" s="765"/>
    </row>
    <row r="138" spans="1:4" ht="56.25" customHeight="1" x14ac:dyDescent="0.35">
      <c r="A138" s="762" t="s">
        <v>839</v>
      </c>
      <c r="B138" s="766" t="s">
        <v>854</v>
      </c>
      <c r="C138" s="764" t="s">
        <v>855</v>
      </c>
      <c r="D138" s="767"/>
    </row>
    <row r="139" spans="1:4" ht="26.4" x14ac:dyDescent="0.25">
      <c r="A139" s="762" t="s">
        <v>839</v>
      </c>
      <c r="B139" s="719" t="s">
        <v>856</v>
      </c>
      <c r="C139" s="738" t="s">
        <v>1112</v>
      </c>
      <c r="D139" s="768"/>
    </row>
    <row r="140" spans="1:4" ht="108" customHeight="1" x14ac:dyDescent="0.25">
      <c r="A140" s="762" t="s">
        <v>839</v>
      </c>
      <c r="B140" s="719" t="s">
        <v>857</v>
      </c>
      <c r="C140" s="769" t="s">
        <v>1347</v>
      </c>
      <c r="D140" s="770"/>
    </row>
    <row r="141" spans="1:4" ht="79.2" x14ac:dyDescent="0.25">
      <c r="A141" s="762" t="s">
        <v>839</v>
      </c>
      <c r="B141" s="719" t="s">
        <v>858</v>
      </c>
      <c r="C141" s="732" t="s">
        <v>1113</v>
      </c>
      <c r="D141" s="770"/>
    </row>
  </sheetData>
  <sheetProtection sheet="1" formatCells="0" formatColumns="0" formatRows="0" sort="0" autoFilter="0"/>
  <autoFilter ref="A1:D141" xr:uid="{00000000-0009-0000-0000-000010000000}"/>
  <mergeCells count="7">
    <mergeCell ref="A103:A104"/>
    <mergeCell ref="B103:B104"/>
    <mergeCell ref="A2:B6"/>
    <mergeCell ref="A10:A11"/>
    <mergeCell ref="B10:B11"/>
    <mergeCell ref="A76:A77"/>
    <mergeCell ref="B76:B77"/>
  </mergeCells>
  <hyperlinks>
    <hyperlink ref="A12" location="'Page 1'!A1" display="'Page 1'!A1" xr:uid="{00000000-0004-0000-1000-000000000000}"/>
    <hyperlink ref="A17" location="'Page 2'!A1" display="'Page 2'!A1" xr:uid="{00000000-0004-0000-1000-000001000000}"/>
    <hyperlink ref="A18" location="'Page 2'!A1" display="'Page 2'!A1" xr:uid="{00000000-0004-0000-1000-000002000000}"/>
    <hyperlink ref="A2:B2" location="'Cover Page'!A1" display="General" xr:uid="{00000000-0004-0000-1000-000003000000}"/>
    <hyperlink ref="A7" location="'Cover Page'!A1" display="Cover" xr:uid="{00000000-0004-0000-1000-000004000000}"/>
    <hyperlink ref="A14" location="'Page 1'!A1" display="'Page 1'!A1" xr:uid="{00000000-0004-0000-1000-000005000000}"/>
    <hyperlink ref="A15" location="'Page 1'!A1" display="'Page 1'!A1" xr:uid="{00000000-0004-0000-1000-000006000000}"/>
    <hyperlink ref="A13" location="'Page 1'!A1" display="'Page 1'!A1" xr:uid="{00000000-0004-0000-1000-000007000000}"/>
    <hyperlink ref="A16" location="'Page 1'!A1" display="'Page 1'!A1" xr:uid="{00000000-0004-0000-1000-000008000000}"/>
    <hyperlink ref="A10" location="'Accounting Data'!A1" display="Accounting data tab" xr:uid="{00000000-0004-0000-1000-000009000000}"/>
    <hyperlink ref="A9" location="'School listing'!A1" display="School listing tab" xr:uid="{00000000-0004-0000-1000-00000A000000}"/>
    <hyperlink ref="C55" r:id="rId1" xr:uid="{00000000-0004-0000-1000-00000B000000}"/>
    <hyperlink ref="C57" r:id="rId2" xr:uid="{00000000-0004-0000-1000-00000C000000}"/>
    <hyperlink ref="C59" r:id="rId3" display="https://www.azed.gov/titlei/sample-page/rural-low-income-schools-rlis/" xr:uid="{00000000-0004-0000-1000-00000D000000}"/>
    <hyperlink ref="C61" r:id="rId4" xr:uid="{00000000-0004-0000-1000-00000E000000}"/>
    <hyperlink ref="C63" r:id="rId5" xr:uid="{00000000-0004-0000-1000-00000F000000}"/>
    <hyperlink ref="A19" location="'Page 3'!A1" display="'Page 3'!A1" xr:uid="{00000000-0004-0000-1000-000010000000}"/>
    <hyperlink ref="A21" location="'Page 3'!A1" display="'Page 3'!A1" xr:uid="{00000000-0004-0000-1000-000011000000}"/>
    <hyperlink ref="A20" location="'Page 3'!A1" display="'Page 3'!A1" xr:uid="{00000000-0004-0000-1000-000012000000}"/>
    <hyperlink ref="A24" location="'Page 4'!A1" display="'Page 4'!A1" xr:uid="{00000000-0004-0000-1000-000013000000}"/>
    <hyperlink ref="A27" location="'Page 6'!A1" display="'Page 6'!A1" xr:uid="{00000000-0004-0000-1000-000014000000}"/>
    <hyperlink ref="A28" location="'Page 6'!A1" display="'Page 6'!A1" xr:uid="{00000000-0004-0000-1000-000015000000}"/>
    <hyperlink ref="A29" location="'Page 6'!A1" display="'Page 6'!A1" xr:uid="{00000000-0004-0000-1000-000016000000}"/>
    <hyperlink ref="A30" location="'Page 6'!A1" display="'Page 6'!A1" xr:uid="{00000000-0004-0000-1000-000017000000}"/>
    <hyperlink ref="A31" location="'Page 6'!A1" display="'Page 6'!A1" xr:uid="{00000000-0004-0000-1000-000018000000}"/>
    <hyperlink ref="A32" location="'Page 6'!A1" display="'Page 6'!A1" xr:uid="{00000000-0004-0000-1000-000019000000}"/>
    <hyperlink ref="A33" location="'Page 6'!A1" display="'Page 6'!A1" xr:uid="{00000000-0004-0000-1000-00001A000000}"/>
    <hyperlink ref="A35" location="'Page 6'!A1" display="'Page 6'!A1" xr:uid="{00000000-0004-0000-1000-00001C000000}"/>
    <hyperlink ref="A36" location="'Page 6'!A1" display="'Page 6'!A1" xr:uid="{00000000-0004-0000-1000-00001D000000}"/>
    <hyperlink ref="A37" location="'Page 6'!A1" display="'Page 6'!A1" xr:uid="{00000000-0004-0000-1000-00001E000000}"/>
    <hyperlink ref="A38" location="'Page 6'!A1" display="'Page 6'!A1" xr:uid="{00000000-0004-0000-1000-00001F000000}"/>
    <hyperlink ref="A39" location="'Page 6'!A1" display="'Page 6'!A1" xr:uid="{00000000-0004-0000-1000-000020000000}"/>
    <hyperlink ref="A40" location="'Page 6'!A1" display="'Page 6'!A1" xr:uid="{00000000-0004-0000-1000-000021000000}"/>
    <hyperlink ref="A41" location="'Page 6'!A1" display="'Page 6'!A1" xr:uid="{00000000-0004-0000-1000-000022000000}"/>
    <hyperlink ref="A42" location="'Page 7'!A1" display="'Page 7'!A1" xr:uid="{00000000-0004-0000-1000-000023000000}"/>
    <hyperlink ref="A43" location="'Page 7'!A1" display="'Page 7'!A1" xr:uid="{00000000-0004-0000-1000-000024000000}"/>
    <hyperlink ref="A44" location="'Page 7'!A1" display="'Page 7'!A1" xr:uid="{00000000-0004-0000-1000-000025000000}"/>
    <hyperlink ref="A45" location="'Page 7'!A1" display="'Page 7'!A1" xr:uid="{00000000-0004-0000-1000-000026000000}"/>
    <hyperlink ref="A47" location="'Page 8'!A1" display="'Page 8'!A1" xr:uid="{00000000-0004-0000-1000-000027000000}"/>
    <hyperlink ref="A48" location="'Page 8'!A1" display="'Page 8'!A1" xr:uid="{00000000-0004-0000-1000-000028000000}"/>
    <hyperlink ref="A49" location="'Page 8'!A1" display="'Page 8'!A1" xr:uid="{00000000-0004-0000-1000-000029000000}"/>
    <hyperlink ref="A50" location="'Page 9'!A1" display="'Page 9'!A1" xr:uid="{00000000-0004-0000-1000-00002A000000}"/>
    <hyperlink ref="A51" location="'Page 9'!A1" display="'Page 9'!A1" xr:uid="{00000000-0004-0000-1000-00002B000000}"/>
    <hyperlink ref="A52" location="'Page 9'!A1" display="'Page 9'!A1" xr:uid="{00000000-0004-0000-1000-00002C000000}"/>
    <hyperlink ref="A53" location="'Page 9'!A1" display="'Page 9'!A1" xr:uid="{00000000-0004-0000-1000-00002D000000}"/>
    <hyperlink ref="A54" location="'Page 9'!A1" display="'Page 9'!A1" xr:uid="{00000000-0004-0000-1000-00002E000000}"/>
    <hyperlink ref="A64" location="'Page 9'!A1" display="'Page 9'!A1" xr:uid="{00000000-0004-0000-1000-00002F000000}"/>
    <hyperlink ref="A65" location="'Page 9'!A1" display="'Page 9'!A1" xr:uid="{00000000-0004-0000-1000-000030000000}"/>
    <hyperlink ref="A66" location="'Page 9'!A1" display="'Page 9'!A1" xr:uid="{00000000-0004-0000-1000-000031000000}"/>
    <hyperlink ref="A67" location="'Page 9'!A1" display="'Page 9'!A1" xr:uid="{00000000-0004-0000-1000-000032000000}"/>
    <hyperlink ref="A68" location="'Page 9'!A1" display="'Page 9'!A1" xr:uid="{00000000-0004-0000-1000-000033000000}"/>
    <hyperlink ref="A70" location="'Page 10'!A1" display="'Page 10'!A1" xr:uid="{00000000-0004-0000-1000-000035000000}"/>
    <hyperlink ref="A128" location="'Reserve Balance'!A1" display="Reserve Balance tab" xr:uid="{00000000-0004-0000-1000-000036000000}"/>
    <hyperlink ref="A129:A134" location="'Reserve Balance'!A1" display="Reserve Balance tab" xr:uid="{00000000-0004-0000-1000-000037000000}"/>
    <hyperlink ref="A139" location="'Reserve Balance'!A25" display="Reserve Balance tab" xr:uid="{00000000-0004-0000-1000-000038000000}"/>
    <hyperlink ref="A140:A141" location="'Reserve Balance'!A25" display="Reserve Balance tab" xr:uid="{00000000-0004-0000-1000-000039000000}"/>
    <hyperlink ref="A69" location="'Page 10'!A1" display="'Page 10'!A1" xr:uid="{00000000-0004-0000-1000-00003A000000}"/>
    <hyperlink ref="A71" location="'Page 10'!A1" display="'Page 10'!A1" xr:uid="{00000000-0004-0000-1000-00003B000000}"/>
    <hyperlink ref="C77" r:id="rId6" display="https://www.azauditor.gov/District_charter_ADE_COVID-19_spending_special_report_FY_2022" xr:uid="{00000000-0004-0000-1000-00003C000000}"/>
    <hyperlink ref="A72" location="'Page 10'!A1" display="'Page 10'!A1" xr:uid="{00000000-0004-0000-1000-00003D000000}"/>
    <hyperlink ref="A88" location="'Page 10'!A1" display="'Page 10'!A1" xr:uid="{00000000-0004-0000-1000-00003E000000}"/>
    <hyperlink ref="A73" location="'Page 10'!A1" display="'Page 10'!A1" xr:uid="{00000000-0004-0000-1000-00003F000000}"/>
    <hyperlink ref="A74" location="'Page 10'!A1" display="'Page 10'!A1" xr:uid="{00000000-0004-0000-1000-000040000000}"/>
    <hyperlink ref="A75" location="'Page 10'!A1" display="'Page 10'!A1" xr:uid="{00000000-0004-0000-1000-000041000000}"/>
    <hyperlink ref="A78" location="'Page 10'!A1" display="'Page 10'!A1" xr:uid="{00000000-0004-0000-1000-000042000000}"/>
    <hyperlink ref="A79" location="'Page 10'!A1" display="'Page 10'!A1" xr:uid="{00000000-0004-0000-1000-000043000000}"/>
    <hyperlink ref="A80" location="'Page 10'!A1" display="'Page 10'!A1" xr:uid="{00000000-0004-0000-1000-000044000000}"/>
    <hyperlink ref="A81" location="'Page 10'!A1" display="'Page 10'!A1" xr:uid="{00000000-0004-0000-1000-000045000000}"/>
    <hyperlink ref="A82" location="'Page 10'!A1" display="'Page 10'!A1" xr:uid="{00000000-0004-0000-1000-000046000000}"/>
    <hyperlink ref="A83" location="'Page 10'!A1" display="'Page 10'!A1" xr:uid="{00000000-0004-0000-1000-000047000000}"/>
    <hyperlink ref="A84" location="'Page 10'!A1" display="'Page 10'!A1" xr:uid="{00000000-0004-0000-1000-000048000000}"/>
    <hyperlink ref="A85" location="'Page 10'!A1" display="'Page 10'!A1" xr:uid="{00000000-0004-0000-1000-000049000000}"/>
    <hyperlink ref="A86" location="'Page 10'!A1" display="'Page 10'!A1" xr:uid="{00000000-0004-0000-1000-00004A000000}"/>
    <hyperlink ref="A87" location="'Page 10'!A1" display="'Page 10'!A1" xr:uid="{00000000-0004-0000-1000-00004B000000}"/>
    <hyperlink ref="A124" location="Summary!A1" display="Summary" xr:uid="{00000000-0004-0000-1000-00004C000000}"/>
    <hyperlink ref="A125" location="Summary!A1" display="Summary" xr:uid="{00000000-0004-0000-1000-00004D000000}"/>
    <hyperlink ref="A126" location="Summary!A1" display="Summary" xr:uid="{00000000-0004-0000-1000-00004E000000}"/>
    <hyperlink ref="A127" location="Summary!A1" display="Summary" xr:uid="{00000000-0004-0000-1000-00004F000000}"/>
    <hyperlink ref="A46" location="'Page 8'!A1" display="'Page 8'!A1" xr:uid="{00000000-0004-0000-1000-000050000000}"/>
    <hyperlink ref="A76:A77" location="'Page 10'!A1" display="'Page 10'!A1" xr:uid="{00000000-0004-0000-1000-000051000000}"/>
    <hyperlink ref="A135" location="'Reserve Balance'!A1" display="Reserve Balance tab" xr:uid="{00000000-0004-0000-1000-000052000000}"/>
    <hyperlink ref="A136" location="'Reserve Balance'!A1" display="Reserve Balance tab" xr:uid="{00000000-0004-0000-1000-000053000000}"/>
    <hyperlink ref="A137" location="'Reserve Balance'!A1" display="Reserve Balance tab" xr:uid="{00000000-0004-0000-1000-000054000000}"/>
    <hyperlink ref="A138" location="'Reserve Balance'!A1" display="Reserve Balance tab" xr:uid="{00000000-0004-0000-1000-000055000000}"/>
    <hyperlink ref="C104" r:id="rId7" xr:uid="{6AAE447B-B858-48A9-8B59-893E4F37DD16}"/>
    <hyperlink ref="A22" location="'Page 3'!A1" display="'Page 3'!A1" xr:uid="{00000000-0004-0000-1000-000034000000}"/>
    <hyperlink ref="A23" location="'Page 3'!A1" display="'Page 3'!A1" xr:uid="{4447963D-6699-41B0-AA5D-8932FE4FF491}"/>
    <hyperlink ref="A26" location="'Page 5'!A1" display="'Page 5'!A1" xr:uid="{9D89D276-0153-4D96-9A77-255222C9D27F}"/>
    <hyperlink ref="A25" location="'Page 4'!A1" display="'Page 4'!A1" xr:uid="{DF5BA6B8-9F54-4383-8DCB-401E7C5C20A9}"/>
    <hyperlink ref="A34" location="'Page 6'!A1" display="'Page 6'!A1" xr:uid="{E915AF1B-9A7F-4983-A69F-96BCB4BC8CE5}"/>
    <hyperlink ref="A89" location="'Food Service'!A1" display="Food Service AFR" xr:uid="{8390BA56-B6BF-494A-B577-6913D87274B7}"/>
    <hyperlink ref="A103" location="'Food Service'!A1" display="Food Service AFR" xr:uid="{FB7E21CA-D34C-40B5-8D16-2C896E314480}"/>
    <hyperlink ref="A105" location="'Food Service'!A1" display="Food Service AFR" xr:uid="{349AB38C-3DA8-4EC8-B395-149189F1BD41}"/>
    <hyperlink ref="A90:A102" location="'Food Service'!A1" display="Food Service AFR" xr:uid="{8557EF55-A031-4FFB-BFB1-0E34F067C231}"/>
    <hyperlink ref="A106:A123" location="'Food Service'!A1" display="Food Service AFR" xr:uid="{500B1D2D-CACD-42DF-9AF7-15D1880921D5}"/>
    <hyperlink ref="A8" location="'Cover Page'!A1" display="Cover" xr:uid="{FBB7D534-D50B-4DF8-8617-E610D20C052A}"/>
  </hyperlinks>
  <printOptions horizontalCentered="1"/>
  <pageMargins left="0.7" right="0.7" top="0.75" bottom="0.75" header="0.3" footer="0.3"/>
  <pageSetup scale="56" fitToHeight="8" orientation="portrait" r:id="rId8"/>
  <headerFooter>
    <oddFooter>&amp;LRev. 8/25 Arizona Department of Education and Auditor General&amp;CFY 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C66D-3F01-418F-9848-776D9E4BD0C0}">
  <sheetPr>
    <pageSetUpPr fitToPage="1"/>
  </sheetPr>
  <dimension ref="A1:AA43"/>
  <sheetViews>
    <sheetView showGridLines="0" topLeftCell="A10" zoomScaleNormal="100" workbookViewId="0">
      <selection sqref="A1:B1"/>
    </sheetView>
  </sheetViews>
  <sheetFormatPr defaultColWidth="9.33203125" defaultRowHeight="13.2" x14ac:dyDescent="0.25"/>
  <cols>
    <col min="1" max="1" width="3.33203125" customWidth="1"/>
    <col min="2" max="2" width="17.77734375" customWidth="1"/>
    <col min="3" max="3" width="33.33203125" customWidth="1"/>
    <col min="4" max="4" width="13.77734375" customWidth="1"/>
    <col min="5" max="5" width="5" customWidth="1"/>
    <col min="6" max="6" width="14" customWidth="1"/>
    <col min="7" max="7" width="7.33203125" customWidth="1"/>
    <col min="8" max="8" width="13.77734375" customWidth="1"/>
    <col min="9" max="11" width="9.33203125" customWidth="1"/>
    <col min="12" max="12" width="10.33203125" customWidth="1"/>
    <col min="13" max="13" width="11.33203125" customWidth="1"/>
    <col min="14" max="17" width="9.33203125" customWidth="1"/>
    <col min="18" max="26" width="9.33203125" hidden="1" customWidth="1"/>
    <col min="27" max="27" width="9.33203125" customWidth="1"/>
  </cols>
  <sheetData>
    <row r="1" spans="1:14" x14ac:dyDescent="0.25">
      <c r="A1" s="794" t="s">
        <v>0</v>
      </c>
      <c r="B1" s="794"/>
      <c r="C1" s="1" t="str">
        <f>'Cover Page'!D1</f>
        <v>Highland Prep West</v>
      </c>
      <c r="G1" s="64" t="s">
        <v>1</v>
      </c>
      <c r="H1" s="802" t="str">
        <f>'Cover Page'!M1</f>
        <v>Maricopa</v>
      </c>
      <c r="I1" s="802"/>
      <c r="L1" s="64" t="s">
        <v>2</v>
      </c>
      <c r="M1" s="801" t="str">
        <f>'Cover Page'!R1</f>
        <v>078419000</v>
      </c>
      <c r="N1" s="802"/>
    </row>
    <row r="2" spans="1:14" x14ac:dyDescent="0.25">
      <c r="F2" s="4"/>
      <c r="G2" s="4"/>
      <c r="H2" t="s">
        <v>20</v>
      </c>
    </row>
    <row r="3" spans="1:14" x14ac:dyDescent="0.25">
      <c r="A3" s="551" t="s">
        <v>21</v>
      </c>
      <c r="B3" s="551"/>
      <c r="D3" s="807" t="s">
        <v>726</v>
      </c>
      <c r="E3" s="807"/>
      <c r="F3" s="807"/>
    </row>
    <row r="4" spans="1:14" x14ac:dyDescent="0.25">
      <c r="A4" s="551" t="s">
        <v>22</v>
      </c>
      <c r="H4" s="65" t="s">
        <v>23</v>
      </c>
      <c r="J4" s="66"/>
      <c r="K4" s="66"/>
      <c r="L4" s="66"/>
    </row>
    <row r="5" spans="1:14" x14ac:dyDescent="0.25">
      <c r="A5" s="7" t="s">
        <v>24</v>
      </c>
      <c r="B5" s="808" t="s">
        <v>25</v>
      </c>
      <c r="C5" s="808"/>
      <c r="D5" s="808"/>
      <c r="H5" s="554">
        <f>-(SUMIFS('Accounting data'!$G$2:$G$37000,'Accounting data'!$K$2:$K$37000,"1310*"))+SUMIFS('Accounting data'!$G$2:$G$37000,'Accounting data'!$H$2:$H$37000,"9999*",'Accounting data'!$K$2:$K$37000,"1310*")</f>
        <v>0</v>
      </c>
      <c r="I5" s="569" t="s">
        <v>24</v>
      </c>
      <c r="J5" s="66"/>
      <c r="K5" s="66"/>
      <c r="L5" s="66"/>
    </row>
    <row r="6" spans="1:14" x14ac:dyDescent="0.25">
      <c r="A6" s="7" t="s">
        <v>26</v>
      </c>
      <c r="B6" s="808" t="s">
        <v>27</v>
      </c>
      <c r="C6" s="808"/>
      <c r="D6" s="808"/>
      <c r="H6" s="554">
        <f>-(SUMIFS('Accounting data'!$G$2:$G$37000,'Accounting data'!$K$2:$K$37000,"1320*"))+SUMIFS('Accounting data'!$G$2:$G$37000,'Accounting data'!$H$2:$H$37000,"9999*",'Accounting data'!$K$2:$K$37000,"1320*")</f>
        <v>0</v>
      </c>
      <c r="I6" s="569" t="s">
        <v>26</v>
      </c>
      <c r="J6" s="66"/>
      <c r="K6" s="66"/>
      <c r="L6" s="66"/>
    </row>
    <row r="7" spans="1:14" ht="12.75" customHeight="1" x14ac:dyDescent="0.25">
      <c r="A7" s="7" t="s">
        <v>28</v>
      </c>
      <c r="B7" s="782" t="s">
        <v>29</v>
      </c>
      <c r="C7" s="782"/>
      <c r="D7" s="782"/>
      <c r="H7" s="554">
        <f>-(SUMIFS('Accounting data'!$G$2:$G$37000,'Accounting data'!$K$2:$K$37000,"1410*"))+SUMIFS('Accounting data'!$G$2:$G$37000,'Accounting data'!$H$2:$H$37000,"9999*",'Accounting data'!$K$2:$K$37000,"1410*")</f>
        <v>0</v>
      </c>
      <c r="I7" s="569" t="s">
        <v>28</v>
      </c>
      <c r="J7" s="805" t="s">
        <v>30</v>
      </c>
      <c r="K7" s="805"/>
      <c r="L7" s="66"/>
    </row>
    <row r="8" spans="1:14" x14ac:dyDescent="0.25">
      <c r="A8" s="7" t="s">
        <v>31</v>
      </c>
      <c r="B8" s="782" t="s">
        <v>32</v>
      </c>
      <c r="C8" s="782"/>
      <c r="D8" s="782"/>
      <c r="H8" s="554">
        <f>-(SUMIFS('Accounting data'!$G$2:$G$37000,'Accounting data'!$K$2:$K$37000,"1420*"))+SUMIFS('Accounting data'!$G$2:$G$37000,'Accounting data'!$H$2:$H$37000,"9999*",'Accounting data'!$K$2:$K$37000,"1420*")</f>
        <v>0</v>
      </c>
      <c r="I8" s="569" t="s">
        <v>31</v>
      </c>
      <c r="J8" s="805"/>
      <c r="K8" s="805"/>
      <c r="L8" s="66"/>
    </row>
    <row r="9" spans="1:14" x14ac:dyDescent="0.25">
      <c r="A9" s="7" t="s">
        <v>33</v>
      </c>
      <c r="B9" s="782" t="s">
        <v>34</v>
      </c>
      <c r="C9" s="782"/>
      <c r="H9" s="554">
        <f>-(SUMIFS('Accounting data'!$G$2:$G$37000,'Accounting data'!$K$2:$K$37000,"1500*"))+SUMIFS('Accounting data'!$G$2:$G$37000,'Accounting data'!$H$2:$H$37000,"9999*",'Accounting data'!$K$2:$K$37000,"1500*")</f>
        <v>0</v>
      </c>
      <c r="I9" s="569" t="s">
        <v>33</v>
      </c>
      <c r="J9" s="805"/>
      <c r="K9" s="805"/>
      <c r="L9" s="66"/>
    </row>
    <row r="10" spans="1:14" x14ac:dyDescent="0.25">
      <c r="A10" s="670" t="s">
        <v>35</v>
      </c>
      <c r="B10" s="796" t="s">
        <v>1273</v>
      </c>
      <c r="C10" s="796"/>
      <c r="H10" s="554">
        <f>IF('Food Service'!$E$7="",J10,'Food Service'!$E$7)</f>
        <v>86110</v>
      </c>
      <c r="I10" s="569" t="s">
        <v>35</v>
      </c>
      <c r="J10" s="806">
        <f>-(SUMIFS('Accounting data'!$G$2:$G$37000,'Accounting data'!$K$2:$K$37000,"1600*"))+SUMIFS('Accounting data'!$G$2:$G$37000,'Accounting data'!$H$2:$H$37000,"9999*",'Accounting data'!$K$2:$K$37000,"1600*")</f>
        <v>86110</v>
      </c>
      <c r="K10" s="806"/>
      <c r="L10" s="66" t="str">
        <f>IF(H10&lt;&gt;J10,"The amount reported for 1600 food service revenue from the Food Service AFR does not agree to the amount in the Accounting Data Tab. Please verify the amounts and ensure they agree.","")</f>
        <v/>
      </c>
    </row>
    <row r="11" spans="1:14" x14ac:dyDescent="0.25">
      <c r="A11" s="7" t="s">
        <v>36</v>
      </c>
      <c r="B11" s="782" t="s">
        <v>37</v>
      </c>
      <c r="C11" s="782"/>
      <c r="H11" s="554">
        <f>-(SUMIFS('Accounting data'!$G$2:$G$37000,'Accounting data'!$K$2:$K$37000,"1700*"))+SUMIFS('Accounting data'!$G$2:$G$37000,'Accounting data'!$H$2:$H$37000,"9999*",'Accounting data'!$K$2:$K$37000,"1700*")</f>
        <v>11567</v>
      </c>
      <c r="I11" s="569" t="s">
        <v>36</v>
      </c>
      <c r="J11" s="66"/>
      <c r="K11" s="66"/>
      <c r="L11" s="66"/>
    </row>
    <row r="12" spans="1:14" x14ac:dyDescent="0.25">
      <c r="A12" s="67" t="s">
        <v>38</v>
      </c>
      <c r="B12" s="782" t="s">
        <v>39</v>
      </c>
      <c r="C12" s="782"/>
      <c r="D12" s="782"/>
      <c r="E12" s="782"/>
      <c r="F12" s="782"/>
      <c r="H12" s="554">
        <f>-(SUMIFS('Accounting data'!$G$2:$G$37000,'Accounting data'!$K$2:$K$37000,"1750*"))+SUMIFS('Accounting data'!$G$2:$G$37000,'Accounting data'!$H$2:$H$37000,"9999*",'Accounting data'!$K$2:$K$37000,"1750*")</f>
        <v>0</v>
      </c>
      <c r="I12" s="581" t="s">
        <v>38</v>
      </c>
      <c r="J12" s="66"/>
      <c r="K12" s="66"/>
      <c r="L12" s="66"/>
    </row>
    <row r="13" spans="1:14" x14ac:dyDescent="0.25">
      <c r="A13" s="68" t="s">
        <v>40</v>
      </c>
      <c r="B13" s="782" t="s">
        <v>41</v>
      </c>
      <c r="C13" s="782"/>
      <c r="H13" s="554">
        <f>-(SUMIFS('Accounting data'!$G$2:$G$37000,'Accounting data'!$K$2:$K$37000,"1790*"))+SUMIFS('Accounting data'!$G$2:$G$37000,'Accounting data'!$H$2:$H$37000,"9999*",'Accounting data'!$K$2:$K$37000,"1790*")</f>
        <v>0</v>
      </c>
      <c r="I13" s="581" t="s">
        <v>40</v>
      </c>
      <c r="J13" s="69"/>
      <c r="K13" s="66"/>
      <c r="L13" s="66"/>
    </row>
    <row r="14" spans="1:14" x14ac:dyDescent="0.25">
      <c r="A14" s="68" t="s">
        <v>42</v>
      </c>
      <c r="B14" s="782" t="s">
        <v>43</v>
      </c>
      <c r="C14" s="782"/>
      <c r="H14" s="675">
        <f>-(SUMIFS('Accounting data'!$G$2:$G$37000,'Accounting data'!$K$2:$K$37000,"1800*"))+SUMIFS('Accounting data'!$G$2:$G$37000,'Accounting data'!$H$2:$H$37000,"9999*",'Accounting data'!$K$2:$K$37000,"1800*")</f>
        <v>0</v>
      </c>
      <c r="I14" s="581" t="s">
        <v>42</v>
      </c>
      <c r="J14" s="66"/>
      <c r="K14" s="66"/>
      <c r="L14" s="66"/>
    </row>
    <row r="15" spans="1:14" x14ac:dyDescent="0.25">
      <c r="A15" s="68" t="s">
        <v>44</v>
      </c>
      <c r="B15" s="702" t="s">
        <v>1265</v>
      </c>
      <c r="C15" s="700"/>
      <c r="D15" s="701"/>
      <c r="E15" s="700"/>
      <c r="F15" s="701"/>
      <c r="H15" s="675">
        <f>-(SUMIFS('Accounting data'!$G$2:$G$37000,'Accounting data'!$K$2:$K$37000,"1900*"))+SUMIFS('Accounting data'!$G$2:$G$37000,'Accounting data'!$H$2:$H$37000,"9999*",'Accounting data'!$K$2:$K$37000,"1900*")</f>
        <v>0</v>
      </c>
      <c r="I15" s="581" t="s">
        <v>44</v>
      </c>
      <c r="J15" s="66"/>
      <c r="K15" s="66"/>
      <c r="L15" s="66"/>
    </row>
    <row r="16" spans="1:14" x14ac:dyDescent="0.25">
      <c r="A16" s="68" t="s">
        <v>45</v>
      </c>
      <c r="B16" s="702" t="s">
        <v>1252</v>
      </c>
      <c r="C16" s="702"/>
      <c r="D16" s="702"/>
      <c r="E16" s="702"/>
      <c r="F16" s="702"/>
      <c r="H16" s="675">
        <f>-(SUMIFS('Accounting data'!$G$2:$G$37000,'Accounting data'!$K$2:$K$37000,"1910*"))+SUMIFS('Accounting data'!$G$2:$G$37000,'Accounting data'!$H$2:$H$37000,"9999*",'Accounting data'!$K$2:$K$37000,"1910*")</f>
        <v>0</v>
      </c>
      <c r="I16" s="581" t="s">
        <v>45</v>
      </c>
      <c r="J16" s="66"/>
      <c r="K16" s="66"/>
      <c r="L16" s="66"/>
    </row>
    <row r="17" spans="1:27" x14ac:dyDescent="0.25">
      <c r="A17" s="68" t="s">
        <v>47</v>
      </c>
      <c r="B17" s="782" t="s">
        <v>46</v>
      </c>
      <c r="C17" s="782"/>
      <c r="H17" s="675">
        <f>-(SUMIFS('Accounting data'!$G$2:$G$37000,'Accounting data'!$K$2:$K$37000,"1920*"))+SUMIFS('Accounting data'!$G$2:$G$37000,'Accounting data'!$H$2:$H$37000,"9999*",'Accounting data'!$K$2:$K$37000,"1920*")</f>
        <v>0</v>
      </c>
      <c r="I17" s="581" t="s">
        <v>47</v>
      </c>
      <c r="J17" s="66"/>
      <c r="K17" s="66"/>
      <c r="L17" s="66"/>
    </row>
    <row r="18" spans="1:27" x14ac:dyDescent="0.25">
      <c r="A18" s="68" t="s">
        <v>49</v>
      </c>
      <c r="B18" s="702" t="s">
        <v>1253</v>
      </c>
      <c r="C18" s="702"/>
      <c r="D18" s="702"/>
      <c r="E18" s="702"/>
      <c r="F18" s="702"/>
      <c r="H18" s="675">
        <f>-(SUMIFS('Accounting data'!$G$2:$G$37000,'Accounting data'!$K$2:$K$37000,"1950*"))+SUMIFS('Accounting data'!$G$2:$G$37000,'Accounting data'!$H$2:$H$37000,"9999*",'Accounting data'!$K$2:$K$37000,"1950*")</f>
        <v>0</v>
      </c>
      <c r="I18" s="581" t="s">
        <v>49</v>
      </c>
      <c r="J18" s="66"/>
      <c r="K18" s="66"/>
      <c r="L18" s="66"/>
    </row>
    <row r="19" spans="1:27" x14ac:dyDescent="0.25">
      <c r="A19" s="68" t="s">
        <v>51</v>
      </c>
      <c r="B19" s="702" t="s">
        <v>1254</v>
      </c>
      <c r="C19" s="702"/>
      <c r="D19" s="702"/>
      <c r="E19" s="702"/>
      <c r="F19" s="702"/>
      <c r="H19" s="675">
        <f>-(SUMIFS('Accounting data'!$G$2:$G$37000,'Accounting data'!$K$2:$K$37000,"1960*"))+SUMIFS('Accounting data'!$G$2:$G$37000,'Accounting data'!$H$2:$H$37000,"9999*",'Accounting data'!$K$2:$K$37000,"1960*")</f>
        <v>0</v>
      </c>
      <c r="I19" s="581" t="s">
        <v>51</v>
      </c>
      <c r="J19" s="66"/>
      <c r="K19" s="66"/>
      <c r="L19" s="66"/>
    </row>
    <row r="20" spans="1:27" ht="14.4" x14ac:dyDescent="0.3">
      <c r="A20" s="674" t="s">
        <v>53</v>
      </c>
      <c r="B20" s="796" t="s">
        <v>48</v>
      </c>
      <c r="C20" s="796"/>
      <c r="D20" s="803"/>
      <c r="E20" s="804"/>
      <c r="F20" s="804"/>
      <c r="H20" s="675">
        <f>-(SUMIFS('Accounting data'!$G$2:$G$37000,'Accounting data'!$K$2:$K$37000,"Other Revenue from Local Sources"))+SUMIFS('Accounting data'!$G$2:$G$37000,'Accounting data'!$H$2:$H$37000,"9999*",'Accounting data'!$K$2:$K$37000,"Other Revenue from Local Sources")</f>
        <v>0</v>
      </c>
      <c r="I20" s="581" t="s">
        <v>53</v>
      </c>
      <c r="J20" s="66"/>
      <c r="K20" s="66"/>
      <c r="L20" s="66"/>
      <c r="AA20" s="53" t="str">
        <f>IF(OR(AND(D20="",H20&lt;&gt;0),AND(D25="",H25&lt;&gt;0),AND(D32="",H32&lt;&gt;0),AND(D40="",H40&lt;&gt;0)),"yes","")</f>
        <v/>
      </c>
    </row>
    <row r="21" spans="1:27" x14ac:dyDescent="0.25">
      <c r="A21" s="674" t="s">
        <v>55</v>
      </c>
      <c r="B21" s="796" t="s">
        <v>1274</v>
      </c>
      <c r="C21" s="796"/>
      <c r="H21" s="553">
        <f>-(SUMIFS('Accounting data'!$G$2:$G$37000,'Accounting data'!$K$2:$K$37000,"1*"))+SUMIFS('Accounting data'!$G$2:$G$37000,'Accounting data'!$H$2:$H$37000,"9999*",'Accounting data'!$K$2:$K$37000,"1*")+H20</f>
        <v>97677</v>
      </c>
      <c r="I21" s="581" t="s">
        <v>55</v>
      </c>
      <c r="J21" s="66"/>
      <c r="K21" s="66"/>
      <c r="L21" s="66"/>
    </row>
    <row r="22" spans="1:27" x14ac:dyDescent="0.25">
      <c r="A22" s="551" t="s">
        <v>50</v>
      </c>
      <c r="B22" s="551"/>
      <c r="H22" s="31"/>
      <c r="I22" s="569" t="s">
        <v>20</v>
      </c>
      <c r="J22" s="66"/>
      <c r="K22" s="66"/>
      <c r="L22" s="66"/>
    </row>
    <row r="23" spans="1:27" x14ac:dyDescent="0.25">
      <c r="A23" s="674" t="s">
        <v>57</v>
      </c>
      <c r="B23" s="796" t="s">
        <v>52</v>
      </c>
      <c r="C23" s="796"/>
      <c r="H23" s="554">
        <f>-(SUMIFS('Accounting data'!$G$2:$G$37000,'Accounting data'!$K$2:$K$37000,"2100*"))+SUMIFS('Accounting data'!$G$2:$G$37000,'Accounting data'!$H$2:$H$37000,"9999*",'Accounting data'!$K$2:$K$37000,"2100*")</f>
        <v>0</v>
      </c>
      <c r="I23" s="581" t="s">
        <v>57</v>
      </c>
      <c r="J23" s="66"/>
      <c r="K23" s="66"/>
      <c r="L23" s="66"/>
    </row>
    <row r="24" spans="1:27" x14ac:dyDescent="0.25">
      <c r="A24" s="674" t="s">
        <v>59</v>
      </c>
      <c r="B24" s="796" t="s">
        <v>54</v>
      </c>
      <c r="C24" s="796"/>
      <c r="H24" s="554">
        <f>-(SUMIFS('Accounting data'!$G$2:$G$37000,'Accounting data'!$K$2:$K$37000,"2200*"))+SUMIFS('Accounting data'!$G$2:$G$37000,'Accounting data'!$H$2:$H$37000,"9999*",'Accounting data'!$K$2:$K$37000,"2200*")</f>
        <v>0</v>
      </c>
      <c r="I24" s="581" t="s">
        <v>59</v>
      </c>
      <c r="J24" s="66"/>
      <c r="K24" s="66"/>
      <c r="L24" s="66"/>
    </row>
    <row r="25" spans="1:27" ht="14.4" x14ac:dyDescent="0.3">
      <c r="A25" s="674" t="s">
        <v>61</v>
      </c>
      <c r="B25" s="796" t="s">
        <v>56</v>
      </c>
      <c r="C25" s="796"/>
      <c r="D25" s="803"/>
      <c r="E25" s="804"/>
      <c r="F25" s="804"/>
      <c r="H25" s="554">
        <f>-(SUMIFS('Accounting data'!$G$2:$G$37000,'Accounting data'!$K$2:$K$37000,"Other Revenue from Intermediate Sources"))+SUMIFS('Accounting data'!$G$2:$G$37000,'Accounting data'!$H$2:$H$37000,"9999*",'Accounting data'!$K$2:$K$37000,"Other Revenue from Intermediate Sources")</f>
        <v>0</v>
      </c>
      <c r="I25" s="581" t="s">
        <v>61</v>
      </c>
      <c r="J25" s="70"/>
      <c r="K25" s="70"/>
      <c r="L25" s="70"/>
      <c r="M25" s="71"/>
    </row>
    <row r="26" spans="1:27" x14ac:dyDescent="0.25">
      <c r="A26" s="674" t="s">
        <v>63</v>
      </c>
      <c r="B26" s="796" t="s">
        <v>1275</v>
      </c>
      <c r="C26" s="796"/>
      <c r="H26" s="553">
        <f>-(SUMIFS('Accounting data'!$G$2:$G$37000,'Accounting data'!$K$2:$K$37000,"2*"))+SUMIFS('Accounting data'!$G$2:$G$37000,'Accounting data'!$H$2:$H$37000,"9999*",'Accounting data'!$K$2:$K$37000,"2*")+H25</f>
        <v>0</v>
      </c>
      <c r="I26" s="581" t="s">
        <v>63</v>
      </c>
      <c r="J26" s="66"/>
      <c r="K26" s="66"/>
      <c r="L26" s="66"/>
    </row>
    <row r="27" spans="1:27" x14ac:dyDescent="0.25">
      <c r="A27" s="551" t="s">
        <v>58</v>
      </c>
      <c r="B27" s="551"/>
      <c r="H27" s="31"/>
      <c r="I27" s="569"/>
      <c r="J27" s="66"/>
      <c r="K27" s="66"/>
      <c r="L27" s="66"/>
    </row>
    <row r="28" spans="1:27" x14ac:dyDescent="0.25">
      <c r="A28" s="68" t="s">
        <v>65</v>
      </c>
      <c r="B28" s="782" t="s">
        <v>60</v>
      </c>
      <c r="C28" s="782"/>
      <c r="H28" s="554">
        <f>-(SUMIFS('Accounting data'!$G$2:$G$37000,'Accounting data'!$K$2:$K$37000,"3110*"))+SUMIFS('Accounting data'!$G$2:$G$37000,'Accounting data'!$H$2:$H$37000,"9999*",'Accounting data'!$K$2:$K$37000,"3110*")</f>
        <v>4249051</v>
      </c>
      <c r="I28" s="581" t="s">
        <v>65</v>
      </c>
      <c r="J28" s="66"/>
      <c r="K28" s="66"/>
      <c r="L28" s="66"/>
    </row>
    <row r="29" spans="1:27" x14ac:dyDescent="0.25">
      <c r="A29" s="67" t="s">
        <v>67</v>
      </c>
      <c r="B29" s="782" t="s">
        <v>62</v>
      </c>
      <c r="C29" s="782"/>
      <c r="H29" s="554">
        <f>-(SUMIFS('Accounting data'!$G$2:$G$37000,'Accounting data'!$K$2:$K$37000,"3130*"))+SUMIFS('Accounting data'!$G$2:$G$37000,'Accounting data'!$H$2:$H$37000,"9999*",'Accounting data'!$K$2:$K$37000,"3130*")</f>
        <v>0</v>
      </c>
      <c r="I29" s="581" t="s">
        <v>67</v>
      </c>
      <c r="J29" s="66"/>
      <c r="K29" s="66"/>
      <c r="L29" s="66"/>
    </row>
    <row r="30" spans="1:27" x14ac:dyDescent="0.25">
      <c r="A30" s="671" t="s">
        <v>69</v>
      </c>
      <c r="B30" s="782" t="s">
        <v>64</v>
      </c>
      <c r="C30" s="782"/>
      <c r="H30" s="554">
        <f>-(SUMIFS('Accounting data'!$G$2:$G$37000,'Accounting data'!$K$2:$K$37000,"3200*"))+SUMIFS('Accounting data'!$G$2:$G$37000,'Accounting data'!$H$2:$H$37000,"9999*",'Accounting data'!$K$2:$K$37000,"3200*")</f>
        <v>686051</v>
      </c>
      <c r="I30" s="581" t="s">
        <v>69</v>
      </c>
      <c r="J30" s="70"/>
      <c r="K30" s="70"/>
      <c r="L30" s="70"/>
      <c r="M30" s="71"/>
    </row>
    <row r="31" spans="1:27" x14ac:dyDescent="0.25">
      <c r="A31" s="68" t="s">
        <v>71</v>
      </c>
      <c r="B31" s="782" t="s">
        <v>66</v>
      </c>
      <c r="C31" s="782"/>
      <c r="H31" s="554">
        <f>-(SUMIFS('Accounting data'!$G$2:$G$37000,'Accounting data'!$K$2:$K$37000,"3900*"))+SUMIFS('Accounting data'!$G$2:$G$37000,'Accounting data'!$H$2:$H$37000,"9999*",'Accounting data'!$K$2:$K$37000,"3900*")</f>
        <v>0</v>
      </c>
      <c r="I31" s="581" t="s">
        <v>71</v>
      </c>
      <c r="J31" s="66"/>
      <c r="K31" s="66"/>
      <c r="L31" s="66"/>
    </row>
    <row r="32" spans="1:27" ht="14.4" x14ac:dyDescent="0.3">
      <c r="A32" s="68" t="s">
        <v>73</v>
      </c>
      <c r="B32" s="782" t="s">
        <v>68</v>
      </c>
      <c r="C32" s="782"/>
      <c r="D32" s="803"/>
      <c r="E32" s="804"/>
      <c r="F32" s="804"/>
      <c r="H32" s="554">
        <f>-(SUMIFS('Accounting data'!$G$2:$G$37000,'Accounting data'!$K$2:$K$37000,"Other Revenue from State Sources"))+SUMIFS('Accounting data'!$G$2:$G$37000,'Accounting data'!$H$2:$H$37000,"9999*",'Accounting data'!$K$2:$K$37000,"Other Revenue from State Sources")</f>
        <v>0</v>
      </c>
      <c r="I32" s="581" t="s">
        <v>73</v>
      </c>
      <c r="J32" s="66"/>
      <c r="K32" s="66"/>
      <c r="L32" s="66"/>
    </row>
    <row r="33" spans="1:13" x14ac:dyDescent="0.25">
      <c r="A33" s="68" t="s">
        <v>75</v>
      </c>
      <c r="B33" s="796" t="s">
        <v>1276</v>
      </c>
      <c r="C33" s="796"/>
      <c r="H33" s="553">
        <f>-(SUMIFS('Accounting data'!$G$2:$G$37000,'Accounting data'!$K$2:$K$37000,"3*"))+SUMIFS('Accounting data'!$G$2:$G$37000,'Accounting data'!$H$2:$H$37000,"9999*",'Accounting data'!$K$2:$K$37000,"3*")+H32</f>
        <v>4935102</v>
      </c>
      <c r="I33" s="581" t="s">
        <v>75</v>
      </c>
      <c r="J33" s="66"/>
      <c r="K33" s="66"/>
      <c r="L33" s="66"/>
    </row>
    <row r="34" spans="1:13" x14ac:dyDescent="0.25">
      <c r="A34" s="3" t="s">
        <v>70</v>
      </c>
      <c r="B34" s="551"/>
      <c r="H34" s="31"/>
      <c r="I34" s="569"/>
      <c r="J34" s="66"/>
      <c r="K34" s="66"/>
      <c r="L34" s="66"/>
    </row>
    <row r="35" spans="1:13" x14ac:dyDescent="0.25">
      <c r="A35" s="671" t="s">
        <v>77</v>
      </c>
      <c r="B35" s="782" t="s">
        <v>72</v>
      </c>
      <c r="C35" s="782"/>
      <c r="D35" s="782"/>
      <c r="E35" s="782"/>
      <c r="F35" s="782"/>
      <c r="H35" s="554">
        <f>-(SUMIFS('Accounting data'!$G$2:$G$37000,'Accounting data'!$K$2:$K$37000,"4100*"))+SUMIFS('Accounting data'!$G$2:$G$37000,'Accounting data'!$H$2:$H$37000,"9999*",'Accounting data'!$K$2:$K$37000,"4100*")</f>
        <v>0</v>
      </c>
      <c r="I35" s="581" t="s">
        <v>77</v>
      </c>
      <c r="J35" s="66"/>
      <c r="K35" s="66"/>
      <c r="L35" s="66"/>
      <c r="M35" s="550"/>
    </row>
    <row r="36" spans="1:13" x14ac:dyDescent="0.25">
      <c r="A36" s="671" t="s">
        <v>79</v>
      </c>
      <c r="B36" s="782" t="s">
        <v>74</v>
      </c>
      <c r="C36" s="782"/>
      <c r="D36" s="782"/>
      <c r="E36" s="782"/>
      <c r="F36" s="782"/>
      <c r="H36" s="554">
        <f>-(SUMIFS('Accounting data'!$G$2:$G$37000,'Accounting data'!$K$2:$K$37000,"4200*"))+SUMIFS('Accounting data'!$G$2:$G$37000,'Accounting data'!$H$2:$H$37000,"9999*",'Accounting data'!$K$2:$K$37000,"4200*")</f>
        <v>434804</v>
      </c>
      <c r="I36" s="581" t="s">
        <v>79</v>
      </c>
      <c r="J36" s="70"/>
      <c r="K36" s="70"/>
      <c r="L36" s="66"/>
    </row>
    <row r="37" spans="1:13" x14ac:dyDescent="0.25">
      <c r="A37" s="72" t="s">
        <v>81</v>
      </c>
      <c r="B37" s="782" t="s">
        <v>76</v>
      </c>
      <c r="C37" s="782"/>
      <c r="D37" s="782"/>
      <c r="E37" s="782"/>
      <c r="F37" s="782"/>
      <c r="G37" s="782"/>
      <c r="H37" s="554">
        <f>-(SUMIFS('Accounting data'!$G$2:$G$37000,'Accounting data'!$K$2:$K$37000,"4700*"))+SUMIFS('Accounting data'!$G$2:$G$37000,'Accounting data'!$H$2:$H$37000,"9999*",'Accounting data'!$K$2:$K$37000,"4700*")</f>
        <v>0</v>
      </c>
      <c r="I37" s="581" t="s">
        <v>81</v>
      </c>
      <c r="J37" s="70"/>
      <c r="K37" s="70"/>
      <c r="L37" s="66"/>
    </row>
    <row r="38" spans="1:13" x14ac:dyDescent="0.25">
      <c r="A38" s="72" t="s">
        <v>83</v>
      </c>
      <c r="B38" s="569" t="s">
        <v>78</v>
      </c>
      <c r="H38" s="554">
        <f>-(SUMIFS('Accounting data'!$G$2:$G$37000,'Accounting data'!$K$2:$K$37000,"4800*"))+SUMIFS('Accounting data'!$G$2:$G$37000,'Accounting data'!$H$2:$H$37000,"9999*",'Accounting data'!$K$2:$K$37000,"4800*")</f>
        <v>0</v>
      </c>
      <c r="I38" s="581" t="s">
        <v>83</v>
      </c>
      <c r="J38" s="66"/>
      <c r="K38" s="66"/>
      <c r="L38" s="66"/>
    </row>
    <row r="39" spans="1:13" x14ac:dyDescent="0.25">
      <c r="A39" s="72" t="s">
        <v>84</v>
      </c>
      <c r="B39" s="782" t="s">
        <v>80</v>
      </c>
      <c r="C39" s="782"/>
      <c r="D39" s="782"/>
      <c r="E39" s="782"/>
      <c r="F39" s="782"/>
      <c r="G39" s="782"/>
      <c r="H39" s="554">
        <f>-(SUMIFS('Accounting data'!$G$2:$G$37000,'Accounting data'!$K$2:$K$37000,"4900*"))+SUMIFS('Accounting data'!$G$2:$G$37000,'Accounting data'!$H$2:$H$37000,"9999*",'Accounting data'!$K$2:$K$37000,"4900*")</f>
        <v>0</v>
      </c>
      <c r="I39" s="581" t="s">
        <v>84</v>
      </c>
      <c r="J39" s="66"/>
      <c r="K39" s="66"/>
      <c r="L39" s="66"/>
    </row>
    <row r="40" spans="1:13" ht="14.4" x14ac:dyDescent="0.3">
      <c r="A40" s="72" t="s">
        <v>137</v>
      </c>
      <c r="B40" s="782" t="s">
        <v>82</v>
      </c>
      <c r="C40" s="782"/>
      <c r="D40" s="803"/>
      <c r="E40" s="804"/>
      <c r="F40" s="804"/>
      <c r="H40" s="554">
        <f>-(SUMIFS('Accounting data'!$G$2:$G$37000,'Accounting data'!$K$2:$K$37000,"Other Revenue from Federal Sources"))+SUMIFS('Accounting data'!$G$2:$G$37000,'Accounting data'!$H$2:$H$37000,"9999*",'Accounting data'!$K$2:$K$37000,"Other Revenue from Federal Sources")</f>
        <v>0</v>
      </c>
      <c r="I40" s="581" t="s">
        <v>137</v>
      </c>
      <c r="J40" s="66"/>
      <c r="K40" s="66"/>
      <c r="L40" s="66"/>
    </row>
    <row r="41" spans="1:13" x14ac:dyDescent="0.25">
      <c r="A41" s="72" t="s">
        <v>138</v>
      </c>
      <c r="B41" s="796" t="s">
        <v>1277</v>
      </c>
      <c r="C41" s="796"/>
      <c r="H41" s="608">
        <f>-(SUMIFS('Accounting data'!$G$2:$G$37000,'Accounting data'!$K$2:$K$37000,"4*"))+SUMIFS('Accounting data'!$G$2:$G$37000,'Accounting data'!$H$2:$H$37000,"9999*",'Accounting data'!$K$2:$K$37000,"4*")+H40</f>
        <v>434804</v>
      </c>
      <c r="I41" s="581" t="s">
        <v>138</v>
      </c>
      <c r="J41" s="66"/>
      <c r="K41" s="66"/>
      <c r="L41" s="66"/>
    </row>
    <row r="42" spans="1:13" x14ac:dyDescent="0.25">
      <c r="A42" s="7"/>
      <c r="B42" s="551"/>
      <c r="H42" s="31"/>
      <c r="I42" s="569"/>
      <c r="J42" s="66"/>
      <c r="K42" s="66"/>
      <c r="L42" s="66"/>
    </row>
    <row r="43" spans="1:13" x14ac:dyDescent="0.25">
      <c r="A43" s="72" t="s">
        <v>140</v>
      </c>
      <c r="B43" s="809" t="s">
        <v>1278</v>
      </c>
      <c r="C43" s="809"/>
      <c r="D43" s="809"/>
      <c r="H43" s="554">
        <f>SUM(H21,H26,H33,H41)</f>
        <v>5467583</v>
      </c>
      <c r="I43" s="581" t="s">
        <v>140</v>
      </c>
      <c r="J43" s="66"/>
      <c r="K43" s="66"/>
      <c r="L43" s="66"/>
    </row>
  </sheetData>
  <sheetProtection sheet="1" formatCells="0" formatColumns="0" formatRows="0"/>
  <mergeCells count="41">
    <mergeCell ref="B36:F36"/>
    <mergeCell ref="B5:D5"/>
    <mergeCell ref="B43:D43"/>
    <mergeCell ref="B37:G37"/>
    <mergeCell ref="B39:G39"/>
    <mergeCell ref="B40:C40"/>
    <mergeCell ref="B41:C41"/>
    <mergeCell ref="D40:F40"/>
    <mergeCell ref="B6:D6"/>
    <mergeCell ref="B11:C11"/>
    <mergeCell ref="B33:C33"/>
    <mergeCell ref="B31:C31"/>
    <mergeCell ref="B35:F35"/>
    <mergeCell ref="D32:F32"/>
    <mergeCell ref="B30:C30"/>
    <mergeCell ref="B21:C21"/>
    <mergeCell ref="M1:N1"/>
    <mergeCell ref="D12:F12"/>
    <mergeCell ref="B7:D7"/>
    <mergeCell ref="D25:F25"/>
    <mergeCell ref="B24:C24"/>
    <mergeCell ref="J7:K9"/>
    <mergeCell ref="J10:K10"/>
    <mergeCell ref="H1:I1"/>
    <mergeCell ref="B8:D8"/>
    <mergeCell ref="B9:C9"/>
    <mergeCell ref="B10:C10"/>
    <mergeCell ref="D20:F20"/>
    <mergeCell ref="A1:B1"/>
    <mergeCell ref="B25:C25"/>
    <mergeCell ref="B12:C12"/>
    <mergeCell ref="D3:F3"/>
    <mergeCell ref="B32:C32"/>
    <mergeCell ref="B13:C13"/>
    <mergeCell ref="B14:C14"/>
    <mergeCell ref="B20:C20"/>
    <mergeCell ref="B29:C29"/>
    <mergeCell ref="B17:C17"/>
    <mergeCell ref="B26:C26"/>
    <mergeCell ref="B28:C28"/>
    <mergeCell ref="B23:C23"/>
  </mergeCells>
  <conditionalFormatting sqref="D20 D25 D32 D40">
    <cfRule type="expression" dxfId="77" priority="1" stopIfTrue="1">
      <formula>AND($D20="",$H20&lt;&gt;0)</formula>
    </cfRule>
  </conditionalFormatting>
  <hyperlinks>
    <hyperlink ref="A30" location="Restricted3200" display="16." xr:uid="{00000000-0004-0000-0200-000000000000}"/>
    <hyperlink ref="A35" location="Unrestricted_Restricted_4100_4300" display="20." xr:uid="{00000000-0004-0000-0200-000001000000}"/>
    <hyperlink ref="A10" location="Food_Service_1600" display="6." xr:uid="{00000000-0004-0000-0200-000002000000}"/>
    <hyperlink ref="A36" location="Unrestricted_Restricted_4200_4500" display="26." xr:uid="{00000000-0004-0000-0200-000003000000}"/>
    <hyperlink ref="D3:E3" location="GeneralPage1" display="Instructions" xr:uid="{3384DA67-5AC0-4DB9-9663-555DC28FA9B1}"/>
  </hyperlinks>
  <pageMargins left="0.7" right="0.7" top="0.75" bottom="0.75" header="0.3" footer="0.3"/>
  <pageSetup scale="82" orientation="landscape" r:id="rId1"/>
  <headerFooter>
    <oddFooter>&amp;LRev. 8/25 Arizona Department of Education and Auditor General&amp;CFY 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F6C69-F4DB-4029-9EA2-B293F2D70C6A}">
  <sheetPr>
    <pageSetUpPr fitToPage="1"/>
  </sheetPr>
  <dimension ref="A1:AF48"/>
  <sheetViews>
    <sheetView showGridLines="0" workbookViewId="0">
      <selection activeCell="E40" sqref="E40"/>
    </sheetView>
  </sheetViews>
  <sheetFormatPr defaultColWidth="9.33203125" defaultRowHeight="12.75" customHeight="1" x14ac:dyDescent="0.25"/>
  <cols>
    <col min="1" max="1" width="20.77734375" customWidth="1"/>
    <col min="2" max="2" width="34.21875" customWidth="1"/>
    <col min="3" max="3" width="3.77734375" customWidth="1"/>
    <col min="4" max="5" width="12.77734375" customWidth="1"/>
    <col min="6" max="6" width="14.77734375" customWidth="1"/>
    <col min="7" max="12" width="12.77734375" customWidth="1"/>
    <col min="13" max="13" width="3" customWidth="1"/>
    <col min="14" max="14" width="9.33203125" customWidth="1"/>
  </cols>
  <sheetData>
    <row r="1" spans="1:32" ht="12" customHeight="1" x14ac:dyDescent="0.25">
      <c r="A1" s="551" t="s">
        <v>0</v>
      </c>
      <c r="B1" s="802" t="str">
        <f>'Cover Page'!D1</f>
        <v>Highland Prep West</v>
      </c>
      <c r="C1" s="802"/>
      <c r="F1" s="64" t="s">
        <v>1</v>
      </c>
      <c r="G1" s="1" t="str">
        <f>'Cover Page'!M1</f>
        <v>Maricopa</v>
      </c>
      <c r="J1" s="64"/>
      <c r="K1" s="64" t="s">
        <v>2</v>
      </c>
      <c r="L1" s="2" t="str">
        <f>'Cover Page'!R1</f>
        <v>078419000</v>
      </c>
    </row>
    <row r="2" spans="1:32" ht="3.75" customHeight="1" x14ac:dyDescent="0.25">
      <c r="L2" s="4"/>
    </row>
    <row r="3" spans="1:32" ht="15.75" customHeight="1" x14ac:dyDescent="0.25">
      <c r="A3" s="73"/>
      <c r="B3" s="696" t="s">
        <v>726</v>
      </c>
      <c r="C3" s="643"/>
      <c r="D3" s="644"/>
      <c r="E3" s="77" t="s">
        <v>85</v>
      </c>
      <c r="F3" s="572" t="s">
        <v>86</v>
      </c>
      <c r="G3" s="77"/>
      <c r="H3" s="78"/>
      <c r="I3" s="813" t="s">
        <v>87</v>
      </c>
      <c r="J3" s="813"/>
      <c r="K3" s="813"/>
      <c r="L3" s="810" t="s">
        <v>88</v>
      </c>
    </row>
    <row r="4" spans="1:32" ht="12" customHeight="1" x14ac:dyDescent="0.25">
      <c r="A4" s="79" t="s">
        <v>89</v>
      </c>
      <c r="C4" s="80"/>
      <c r="D4" s="81" t="s">
        <v>90</v>
      </c>
      <c r="E4" s="82" t="s">
        <v>91</v>
      </c>
      <c r="F4" s="83" t="s">
        <v>92</v>
      </c>
      <c r="G4" s="84" t="s">
        <v>93</v>
      </c>
      <c r="H4" s="81" t="s">
        <v>94</v>
      </c>
      <c r="I4" s="85"/>
      <c r="J4" s="85"/>
      <c r="K4" s="572" t="s">
        <v>95</v>
      </c>
      <c r="L4" s="811"/>
    </row>
    <row r="5" spans="1:32" ht="11.25" customHeight="1" x14ac:dyDescent="0.25">
      <c r="A5" s="86" t="s">
        <v>96</v>
      </c>
      <c r="B5" s="6"/>
      <c r="C5" s="87"/>
      <c r="D5" s="577">
        <v>6100</v>
      </c>
      <c r="E5" s="88">
        <v>6200</v>
      </c>
      <c r="F5" s="88" t="s">
        <v>97</v>
      </c>
      <c r="G5" s="578">
        <v>6600</v>
      </c>
      <c r="H5" s="577">
        <v>6800</v>
      </c>
      <c r="I5" s="571" t="s">
        <v>98</v>
      </c>
      <c r="J5" s="88" t="s">
        <v>23</v>
      </c>
      <c r="K5" s="88" t="s">
        <v>99</v>
      </c>
      <c r="L5" s="812"/>
    </row>
    <row r="6" spans="1:32" ht="12" customHeight="1" x14ac:dyDescent="0.25">
      <c r="A6" s="89" t="s">
        <v>100</v>
      </c>
      <c r="B6" s="74"/>
      <c r="C6" s="75"/>
      <c r="D6" s="90"/>
      <c r="E6" s="90"/>
      <c r="F6" s="90"/>
      <c r="G6" s="90"/>
      <c r="H6" s="90"/>
      <c r="I6" s="90"/>
      <c r="J6" s="90"/>
      <c r="K6" s="90"/>
      <c r="L6" s="817">
        <f>IF(J7=K7,0,IF(K7&gt;0,(J7-K7)/K7,"--"))</f>
        <v>0.93330000000000002</v>
      </c>
      <c r="S6" s="550"/>
    </row>
    <row r="7" spans="1:32" ht="12" customHeight="1" x14ac:dyDescent="0.25">
      <c r="A7" s="91" t="s">
        <v>101</v>
      </c>
      <c r="C7" s="92" t="s">
        <v>24</v>
      </c>
      <c r="D7" s="557">
        <f>SUMIFS('Accounting data'!$G$2:$G$37000,'Accounting data'!$H$2:$H$37000,"1000*",'Accounting data'!$I$2:$I$37000,"1*",'Accounting data'!$J$2:$J$37000,"1*",'Accounting data'!$K$2:$K$37000,"61*")+SUMIFS('Accounting data'!$G$2:$G$37000,'Accounting data'!$H$2:$H$37000,"1500*",'Accounting data'!$I$2:$I$37000,"1*",'Accounting data'!$J$2:$J$37000,"1*",'Accounting data'!$K$2:$K$37000,"61*")</f>
        <v>713856</v>
      </c>
      <c r="E7" s="557">
        <f>SUMIFS('Accounting data'!$G$2:$G$37000,'Accounting data'!$H$2:$H$37000,"1000*",'Accounting data'!$I$2:$I$37000,"1*",'Accounting data'!$J$2:$J$37000,"1*",'Accounting data'!$K$2:$K$37000,"62*")+SUMIFS('Accounting data'!$G$2:$G$37000,'Accounting data'!$H$2:$H$37000,"1500*",'Accounting data'!$I$2:$I$37000,"1*",'Accounting data'!$J$2:$J$37000,"1*",'Accounting data'!$K$2:$K$37000,"62*")</f>
        <v>61762</v>
      </c>
      <c r="F7" s="557">
        <f>SUMIFS('Accounting data'!$G$2:$G$37000,'Accounting data'!$H$2:$H$37000,"1000*",'Accounting data'!$I$2:$I$37000,"1*",'Accounting data'!$J$2:$J$37000,"1*",'Accounting data'!$K$2:$K$37000,"63*")+SUMIFS('Accounting data'!$G$2:$G$37000,'Accounting data'!$H$2:$H$37000,"1500*",'Accounting data'!$I$2:$I$37000,"1*",'Accounting data'!$J$2:$J$37000,"1*",'Accounting data'!$K$2:$K$37000,"63*")+SUMIFS('Accounting data'!$G$2:$G$37000,'Accounting data'!$H$2:$H$37000,"1500*",'Accounting data'!$I$2:$I$37000,"1*",'Accounting data'!$J$2:$J$37000,"1*",'Accounting data'!$K$2:$K$37000,"6432*")+SUMIFS('Accounting data'!$G$2:$G$37000,'Accounting data'!$H$2:$H$37000,"1500*",'Accounting data'!$I$2:$I$37000,"1*",'Accounting data'!$J$2:$J$37000,"1*",'Accounting data'!$K$2:$K$37000,"6432*")+SUMIFS('Accounting data'!$G$2:$G$37000,'Accounting data'!$H$2:$H$37000,"1500*",'Accounting data'!$I$2:$I$37000,"1*",'Accounting data'!$J$2:$J$37000,"1*",'Accounting data'!$K$2:$K$37000,"6441*")+SUMIFS('Accounting data'!$G$2:$G$37000,'Accounting data'!$H$2:$H$37000,"1500*",'Accounting data'!$I$2:$I$37000,"1*",'Accounting data'!$J$2:$J$37000,"1*",'Accounting data'!$K$2:$K$37000,"6441*")+SUMIFS('Accounting data'!$G$2:$G$37000,'Accounting data'!$H$2:$H$37000,"1500*",'Accounting data'!$I$2:$I$37000,"1*",'Accounting data'!$J$2:$J$37000,"1*",'Accounting data'!$K$2:$K$37000,"6531*")+SUMIFS('Accounting data'!$G$2:$G$37000,'Accounting data'!$H$2:$H$37000,"1500*",'Accounting data'!$I$2:$I$37000,"1*",'Accounting data'!$J$2:$J$37000,"1*",'Accounting data'!$K$2:$K$37000,"6531*")</f>
        <v>451436</v>
      </c>
      <c r="G7" s="557">
        <f>SUMIFS('Accounting data'!$G$2:$G$37000,'Accounting data'!$H$2:$H$37000,"1000*",'Accounting data'!$I$2:$I$37000,"1*",'Accounting data'!$J$2:$J$37000,"1*",'Accounting data'!$K$2:$K$37000,"66*")+SUMIFS('Accounting data'!$G$2:$G$37000,'Accounting data'!$H$2:$H$37000,"1500*",'Accounting data'!$I$2:$I$37000,"1*",'Accounting data'!$J$2:$J$37000,"1*",'Accounting data'!$K$2:$K$37000,"66*")</f>
        <v>489474</v>
      </c>
      <c r="H7" s="557">
        <f>SUMIFS('Accounting data'!$G$2:$G$37000,'Accounting data'!$H$2:$H$37000,"1000*",'Accounting data'!$I$2:$I$37000,"1*",'Accounting data'!$J$2:$J$37000,"1*",'Accounting data'!$K$2:$K$37000,"68*")+SUMIFS('Accounting data'!$G$2:$G$37000,'Accounting data'!$H$2:$H$37000,"1500*",'Accounting data'!$I$2:$I$37000,"1*",'Accounting data'!$J$2:$J$37000,"1*",'Accounting data'!$K$2:$K$37000,"68*")</f>
        <v>0</v>
      </c>
      <c r="I7" s="557">
        <f>[1]!SP1000P100F1000</f>
        <v>1440491</v>
      </c>
      <c r="J7" s="557">
        <f>SUM(D7:H7)</f>
        <v>1716528</v>
      </c>
      <c r="K7" s="557">
        <f>[2]!SP1000P100F1000</f>
        <v>887881</v>
      </c>
      <c r="L7" s="818"/>
      <c r="M7" s="93" t="s">
        <v>24</v>
      </c>
      <c r="S7" s="550"/>
    </row>
    <row r="8" spans="1:32" ht="12" customHeight="1" x14ac:dyDescent="0.25">
      <c r="A8" s="91" t="s">
        <v>102</v>
      </c>
      <c r="C8" s="80"/>
      <c r="D8" s="90"/>
      <c r="E8" s="90"/>
      <c r="F8" s="90"/>
      <c r="G8" s="94"/>
      <c r="H8" s="90"/>
      <c r="I8" s="90"/>
      <c r="J8" s="90"/>
      <c r="K8" s="90"/>
      <c r="L8" s="819">
        <f>IF(J9=K9,0,IF(K9&gt;0,(J9-K9)/K9,"--"))</f>
        <v>-0.4501</v>
      </c>
      <c r="M8" s="569"/>
      <c r="S8" s="550"/>
    </row>
    <row r="9" spans="1:32" ht="12" customHeight="1" x14ac:dyDescent="0.25">
      <c r="A9" s="91" t="s">
        <v>103</v>
      </c>
      <c r="C9" s="92" t="s">
        <v>26</v>
      </c>
      <c r="D9" s="557">
        <f>SUMIFS('Accounting data'!$G$2:$G$37000,'Accounting data'!$H$2:$H$37000,"1000*",'Accounting data'!$I$2:$I$37000,"1*",'Accounting data'!$J$2:$J$37000,"21*",'Accounting data'!$K$2:$K$37000,"61*")+SUMIFS('Accounting data'!$G$2:$G$37000,'Accounting data'!$H$2:$H$37000,"1500*",'Accounting data'!$I$2:$I$37000,"1*",'Accounting data'!$J$2:$J$37000,"21*",'Accounting data'!$K$2:$K$37000,"61*")</f>
        <v>6840</v>
      </c>
      <c r="E9" s="557">
        <f>SUMIFS('Accounting data'!$G$2:$G$37000,'Accounting data'!$H$2:$H$37000,"1000*",'Accounting data'!$I$2:$I$37000,"1*",'Accounting data'!$J$2:$J$37000,"21*",'Accounting data'!$K$2:$K$37000,"62*")+SUMIFS('Accounting data'!$G$2:$G$37000,'Accounting data'!$H$2:$H$37000,"1500*",'Accounting data'!$I$2:$I$37000,"1*",'Accounting data'!$J$2:$J$37000,"21*",'Accounting data'!$K$2:$K$37000,"62*")</f>
        <v>0</v>
      </c>
      <c r="F9" s="557">
        <f>SUMIFS('Accounting data'!$G$2:$G$37000,'Accounting data'!$H$2:$H$37000,"1000*",'Accounting data'!$I$2:$I$37000,"1*",'Accounting data'!$J$2:$J$37000,"21*",'Accounting data'!$K$2:$K$37000,"63*")+SUMIFS('Accounting data'!$G$2:$G$37000,'Accounting data'!$H$2:$H$37000,"1500*",'Accounting data'!$I$2:$I$37000,"1*",'Accounting data'!$J$2:$J$37000,"21*",'Accounting data'!$K$2:$K$37000,"63*")</f>
        <v>389</v>
      </c>
      <c r="G9" s="557">
        <f>SUMIFS('Accounting data'!$G$2:$G$37000,'Accounting data'!$H$2:$H$37000,"1000*",'Accounting data'!$I$2:$I$37000,"1*",'Accounting data'!$J$2:$J$37000,"21*",'Accounting data'!$K$2:$K$37000,"66*")+SUMIFS('Accounting data'!$G$2:$G$37000,'Accounting data'!$H$2:$H$37000,"1500*",'Accounting data'!$I$2:$I$37000,"1*",'Accounting data'!$J$2:$J$37000,"21*",'Accounting data'!$K$2:$K$37000,"66*")</f>
        <v>355</v>
      </c>
      <c r="H9" s="557">
        <f>SUMIFS('Accounting data'!$G$2:$G$37000,'Accounting data'!$H$2:$H$37000,"1000*",'Accounting data'!$I$2:$I$37000,"1*",'Accounting data'!$J$2:$J$37000,"21*",'Accounting data'!$K$2:$K$37000,"68*")+SUMIFS('Accounting data'!$G$2:$G$37000,'Accounting data'!$H$2:$H$37000,"1500*",'Accounting data'!$I$2:$I$37000,"1*",'Accounting data'!$J$2:$J$37000,"21*",'Accounting data'!$K$2:$K$37000,"68*")</f>
        <v>0</v>
      </c>
      <c r="I9" s="557">
        <f>[1]!SP1000P100F2100</f>
        <v>23050</v>
      </c>
      <c r="J9" s="557">
        <f>SUM(D9:H9)</f>
        <v>7584</v>
      </c>
      <c r="K9" s="557">
        <f>[2]!SP1000P100F2100</f>
        <v>13792</v>
      </c>
      <c r="L9" s="820"/>
      <c r="M9" s="93" t="s">
        <v>26</v>
      </c>
      <c r="N9" s="816" t="str">
        <f>IF('Page 2'!J48=0,"",IF(OR('Page 2'!J9&lt;=0),"The Charter did not report any expenses for student support services on line 2. If the Charter did not have any expense, verify by checking the box in A10 on the Cover Page.",""))</f>
        <v/>
      </c>
      <c r="O9" s="816"/>
      <c r="P9" s="816"/>
      <c r="Q9" s="816"/>
      <c r="R9" s="816"/>
      <c r="S9" s="816"/>
      <c r="T9" s="816"/>
      <c r="U9" s="816"/>
      <c r="V9" s="816"/>
      <c r="W9" s="816"/>
      <c r="X9" s="816"/>
      <c r="Y9" s="816"/>
      <c r="Z9" s="816"/>
      <c r="AA9" s="816"/>
      <c r="AB9" s="816"/>
      <c r="AC9" s="816"/>
      <c r="AD9" s="816"/>
      <c r="AE9" s="816"/>
      <c r="AF9" s="816"/>
    </row>
    <row r="10" spans="1:32" ht="12" customHeight="1" x14ac:dyDescent="0.25">
      <c r="A10" s="91" t="s">
        <v>104</v>
      </c>
      <c r="C10" s="92" t="s">
        <v>28</v>
      </c>
      <c r="D10" s="553">
        <f>SUMIFS('Accounting data'!$G$2:$G$37000,'Accounting data'!$H$2:$H$37000,"1000*",'Accounting data'!$I$2:$I$37000,"1*",'Accounting data'!$J$2:$J$37000,"22*",'Accounting data'!$K$2:$K$37000,"61*")+SUMIFS('Accounting data'!$G$2:$G$37000,'Accounting data'!$H$2:$H$37000,"1500*",'Accounting data'!$I$2:$I$37000,"1*",'Accounting data'!$J$2:$J$37000,"22*",'Accounting data'!$K$2:$K$37000,"61*")</f>
        <v>0</v>
      </c>
      <c r="E10" s="553">
        <f>SUMIFS('Accounting data'!$G$2:$G$37000,'Accounting data'!$H$2:$H$37000,"1000*",'Accounting data'!$I$2:$I$37000,"1*",'Accounting data'!$J$2:$J$37000,"22*",'Accounting data'!$K$2:$K$37000,"62*")+SUMIFS('Accounting data'!$G$2:$G$37000,'Accounting data'!$H$2:$H$37000,"1500*",'Accounting data'!$I$2:$I$37000,"1*",'Accounting data'!$J$2:$J$37000,"22*",'Accounting data'!$K$2:$K$37000,"62*")</f>
        <v>0</v>
      </c>
      <c r="F10" s="553">
        <f>SUMIFS('Accounting data'!$G$2:$G$37000,'Accounting data'!$H$2:$H$37000,"1000*",'Accounting data'!$I$2:$I$37000,"1*",'Accounting data'!$J$2:$J$37000,"22*",'Accounting data'!$K$2:$K$37000,"63*")+SUMIFS('Accounting data'!$G$2:$G$37000,'Accounting data'!$H$2:$H$37000,"1500*",'Accounting data'!$I$2:$I$37000,"1*",'Accounting data'!$J$2:$J$37000,"22*",'Accounting data'!$K$2:$K$37000,"63*")</f>
        <v>1</v>
      </c>
      <c r="G10" s="553">
        <f>SUMIFS('Accounting data'!$G$2:$G$37000,'Accounting data'!$H$2:$H$37000,"1000*",'Accounting data'!$I$2:$I$37000,"1*",'Accounting data'!$J$2:$J$37000,"22*",'Accounting data'!$K$2:$K$37000,"66*")+SUMIFS('Accounting data'!$G$2:$G$37000,'Accounting data'!$H$2:$H$37000,"1500*",'Accounting data'!$I$2:$I$37000,"1*",'Accounting data'!$J$2:$J$37000,"22*",'Accounting data'!$K$2:$K$37000,"66*")</f>
        <v>0</v>
      </c>
      <c r="H10" s="553">
        <f>SUMIFS('Accounting data'!$G$2:$G$37000,'Accounting data'!$H$2:$H$37000,"1000*",'Accounting data'!$I$2:$I$37000,"1*",'Accounting data'!$J$2:$J$37000,"22*",'Accounting data'!$K$2:$K$37000,"68*")+SUMIFS('Accounting data'!$G$2:$G$37000,'Accounting data'!$H$2:$H$37000,"1500*",'Accounting data'!$I$2:$I$37000,"1*",'Accounting data'!$J$2:$J$37000,"22*",'Accounting data'!$K$2:$K$37000,"68*")</f>
        <v>0</v>
      </c>
      <c r="I10" s="552">
        <f>[1]!SP1000P100F2200</f>
        <v>23250</v>
      </c>
      <c r="J10" s="554">
        <f t="shared" ref="J10:J22" si="0">SUM(D10:H10)</f>
        <v>1</v>
      </c>
      <c r="K10" s="552">
        <f>[2]!SP1000P100F2200</f>
        <v>1</v>
      </c>
      <c r="L10" s="555">
        <f t="shared" ref="L10:L20" si="1">IF(J10=K10,0,IF(K10&gt;0,(J10-K10)/K10,"--"))</f>
        <v>0</v>
      </c>
      <c r="M10" s="93" t="s">
        <v>28</v>
      </c>
      <c r="N10" s="816" t="str">
        <f>IF('Page 2'!J48=0,"",IF(OR('Page 2'!J10&lt;=0),"The Charter did not report any expenses for instructional support services on line 3. If the Charter did not have any expense, verify by checking the box in A12 on the Cover Page.",""))</f>
        <v/>
      </c>
      <c r="O10" s="816"/>
      <c r="P10" s="816"/>
      <c r="Q10" s="816"/>
      <c r="R10" s="816"/>
      <c r="S10" s="816"/>
      <c r="T10" s="816"/>
      <c r="U10" s="816"/>
      <c r="V10" s="816"/>
      <c r="W10" s="816"/>
      <c r="X10" s="816"/>
      <c r="Y10" s="816"/>
      <c r="Z10" s="816"/>
      <c r="AA10" s="816"/>
      <c r="AB10" s="816"/>
      <c r="AC10" s="816"/>
      <c r="AD10" s="816"/>
      <c r="AE10" s="816"/>
      <c r="AF10" s="816"/>
    </row>
    <row r="11" spans="1:32" ht="12" customHeight="1" x14ac:dyDescent="0.25">
      <c r="A11" s="91" t="s">
        <v>105</v>
      </c>
      <c r="C11" s="92" t="s">
        <v>31</v>
      </c>
      <c r="D11" s="553">
        <f>SUMIFS('Accounting data'!$G$2:$G$37000,'Accounting data'!$H$2:$H$37000,"1000*",'Accounting data'!$I$2:$I$37000,"1*",'Accounting data'!$J$2:$J$37000,"23*",'Accounting data'!$K$2:$K$37000,"61*")+SUMIFS('Accounting data'!$G$2:$G$37000,'Accounting data'!$H$2:$H$37000,"1500*",'Accounting data'!$I$2:$I$37000,"1*",'Accounting data'!$J$2:$J$37000,"23*",'Accounting data'!$K$2:$K$37000,"61*")</f>
        <v>0</v>
      </c>
      <c r="E11" s="553">
        <f>SUMIFS('Accounting data'!$G$2:$G$37000,'Accounting data'!$H$2:$H$37000,"1000*",'Accounting data'!$I$2:$I$37000,"1*",'Accounting data'!$J$2:$J$37000,"23*",'Accounting data'!$K$2:$K$37000,"62*")+SUMIFS('Accounting data'!$G$2:$G$37000,'Accounting data'!$H$2:$H$37000,"1500*",'Accounting data'!$I$2:$I$37000,"1*",'Accounting data'!$J$2:$J$37000,"23*",'Accounting data'!$K$2:$K$37000,"62*")</f>
        <v>0</v>
      </c>
      <c r="F11" s="553">
        <f>SUMIFS('Accounting data'!$G$2:$G$37000,'Accounting data'!$H$2:$H$37000,"1000*",'Accounting data'!$I$2:$I$37000,"1*",'Accounting data'!$J$2:$J$37000,"23*",'Accounting data'!$K$2:$K$37000,"63*")+SUMIFS('Accounting data'!$G$2:$G$37000,'Accounting data'!$H$2:$H$37000,"1500*",'Accounting data'!$I$2:$I$37000,"1*",'Accounting data'!$J$2:$J$37000,"23*",'Accounting data'!$K$2:$K$37000,"63*")</f>
        <v>0</v>
      </c>
      <c r="G11" s="553">
        <f>SUMIFS('Accounting data'!$G$2:$G$37000,'Accounting data'!$H$2:$H$37000,"1000*",'Accounting data'!$I$2:$I$37000,"1*",'Accounting data'!$J$2:$J$37000,"23*",'Accounting data'!$K$2:$K$37000,"66*")+SUMIFS('Accounting data'!$G$2:$G$37000,'Accounting data'!$H$2:$H$37000,"1500*",'Accounting data'!$I$2:$I$37000,"1*",'Accounting data'!$J$2:$J$37000,"23*",'Accounting data'!$K$2:$K$37000,"66*")</f>
        <v>0</v>
      </c>
      <c r="H11" s="553">
        <f>SUMIFS('Accounting data'!$G$2:$G$37000,'Accounting data'!$H$2:$H$37000,"1000*",'Accounting data'!$I$2:$I$37000,"1*",'Accounting data'!$J$2:$J$37000,"23*",'Accounting data'!$K$2:$K$37000,"68*")+SUMIFS('Accounting data'!$G$2:$G$37000,'Accounting data'!$H$2:$H$37000,"1500*",'Accounting data'!$I$2:$I$37000,"1*",'Accounting data'!$J$2:$J$37000,"23*",'Accounting data'!$K$2:$K$37000,"68*")</f>
        <v>0</v>
      </c>
      <c r="I11" s="552">
        <f>[1]!SP1000P100F2300</f>
        <v>0</v>
      </c>
      <c r="J11" s="554">
        <f t="shared" si="0"/>
        <v>0</v>
      </c>
      <c r="K11" s="552">
        <f>[2]!SP1000P100F2300</f>
        <v>0</v>
      </c>
      <c r="L11" s="555">
        <f t="shared" si="1"/>
        <v>0</v>
      </c>
      <c r="M11" s="93" t="s">
        <v>31</v>
      </c>
      <c r="N11" s="8"/>
      <c r="O11" s="8"/>
      <c r="P11" s="8"/>
      <c r="Q11" s="8"/>
      <c r="R11" s="8"/>
      <c r="S11" s="8"/>
      <c r="T11" s="8"/>
      <c r="U11" s="8"/>
    </row>
    <row r="12" spans="1:32" ht="12" customHeight="1" x14ac:dyDescent="0.25">
      <c r="A12" s="91" t="s">
        <v>106</v>
      </c>
      <c r="C12" s="92" t="s">
        <v>33</v>
      </c>
      <c r="D12" s="553">
        <f>SUMIFS('Accounting data'!$G$2:$G$37000,'Accounting data'!$H$2:$H$37000,"1000*",'Accounting data'!$I$2:$I$37000,"1*",'Accounting data'!$J$2:$J$37000,"24*",'Accounting data'!$K$2:$K$37000,"61*")+SUMIFS('Accounting data'!$G$2:$G$37000,'Accounting data'!$H$2:$H$37000,"1500*",'Accounting data'!$I$2:$I$37000,"1*",'Accounting data'!$J$2:$J$37000,"24*",'Accounting data'!$K$2:$K$37000,"61*")</f>
        <v>227412</v>
      </c>
      <c r="E12" s="553">
        <f>SUMIFS('Accounting data'!$G$2:$G$37000,'Accounting data'!$H$2:$H$37000,"1000*",'Accounting data'!$I$2:$I$37000,"1*",'Accounting data'!$J$2:$J$37000,"24*",'Accounting data'!$K$2:$K$37000,"62*")+SUMIFS('Accounting data'!$G$2:$G$37000,'Accounting data'!$H$2:$H$37000,"1500*",'Accounting data'!$I$2:$I$37000,"1*",'Accounting data'!$J$2:$J$37000,"24*",'Accounting data'!$K$2:$K$37000,"62*")</f>
        <v>24589</v>
      </c>
      <c r="F12" s="553">
        <f>SUMIFS('Accounting data'!$G$2:$G$37000,'Accounting data'!$H$2:$H$37000,"1000*",'Accounting data'!$I$2:$I$37000,"1*",'Accounting data'!$J$2:$J$37000,"24*",'Accounting data'!$K$2:$K$37000,"63*")+SUMIFS('Accounting data'!$G$2:$G$37000,'Accounting data'!$H$2:$H$37000,"1500*",'Accounting data'!$I$2:$I$37000,"1*",'Accounting data'!$J$2:$J$37000,"24*",'Accounting data'!$K$2:$K$37000,"63*")</f>
        <v>287857</v>
      </c>
      <c r="G12" s="553">
        <f>SUMIFS('Accounting data'!$G$2:$G$37000,'Accounting data'!$H$2:$H$37000,"1000*",'Accounting data'!$I$2:$I$37000,"1*",'Accounting data'!$J$2:$J$37000,"24*",'Accounting data'!$K$2:$K$37000,"66*")+SUMIFS('Accounting data'!$G$2:$G$37000,'Accounting data'!$H$2:$H$37000,"1500*",'Accounting data'!$I$2:$I$37000,"1*",'Accounting data'!$J$2:$J$37000,"24*",'Accounting data'!$K$2:$K$37000,"66*")</f>
        <v>38123</v>
      </c>
      <c r="H12" s="553">
        <f>SUMIFS('Accounting data'!$G$2:$G$37000,'Accounting data'!$H$2:$H$37000,"1000*",'Accounting data'!$I$2:$I$37000,"1*",'Accounting data'!$J$2:$J$37000,"24*",'Accounting data'!$K$2:$K$37000,"68*")+SUMIFS('Accounting data'!$G$2:$G$37000,'Accounting data'!$H$2:$H$37000,"1500*",'Accounting data'!$I$2:$I$37000,"1*",'Accounting data'!$J$2:$J$37000,"24*",'Accounting data'!$K$2:$K$37000,"68*")</f>
        <v>0</v>
      </c>
      <c r="I12" s="552">
        <f>[1]!SP1000P100F2400</f>
        <v>503718</v>
      </c>
      <c r="J12" s="554">
        <f t="shared" si="0"/>
        <v>577981</v>
      </c>
      <c r="K12" s="552">
        <f>[2]!SP1000P100F2400</f>
        <v>283020</v>
      </c>
      <c r="L12" s="555">
        <f t="shared" si="1"/>
        <v>1.0422</v>
      </c>
      <c r="M12" s="93" t="s">
        <v>33</v>
      </c>
    </row>
    <row r="13" spans="1:32" ht="12" customHeight="1" x14ac:dyDescent="0.25">
      <c r="A13" s="91" t="s">
        <v>107</v>
      </c>
      <c r="C13" s="92" t="s">
        <v>35</v>
      </c>
      <c r="D13" s="553">
        <f>SUMIFS('Accounting data'!$G$2:$G$37000,'Accounting data'!$H$2:$H$37000,"1000*",'Accounting data'!$I$2:$I$37000,"1*",'Accounting data'!$J$2:$J$37000,"25*",'Accounting data'!$K$2:$K$37000,"61*")+SUMIFS('Accounting data'!$G$2:$G$37000,'Accounting data'!$H$2:$H$37000,"1500*",'Accounting data'!$I$2:$I$37000,"1*",'Accounting data'!$J$2:$J$37000,"25*",'Accounting data'!$K$2:$K$37000,"61*")</f>
        <v>0</v>
      </c>
      <c r="E13" s="553">
        <f>SUMIFS('Accounting data'!$G$2:$G$37000,'Accounting data'!$H$2:$H$37000,"1000*",'Accounting data'!$I$2:$I$37000,"1*",'Accounting data'!$J$2:$J$37000,"25*",'Accounting data'!$K$2:$K$37000,"62*")+SUMIFS('Accounting data'!$G$2:$G$37000,'Accounting data'!$H$2:$H$37000,"1500*",'Accounting data'!$I$2:$I$37000,"1*",'Accounting data'!$J$2:$J$37000,"25*",'Accounting data'!$K$2:$K$37000,"62*")</f>
        <v>0</v>
      </c>
      <c r="F13" s="553">
        <f>SUMIFS('Accounting data'!$G$2:$G$37000,'Accounting data'!$H$2:$H$37000,"1000*",'Accounting data'!$I$2:$I$37000,"1*",'Accounting data'!$J$2:$J$37000,"25*",'Accounting data'!$K$2:$K$37000,"63*")+SUMIFS('Accounting data'!$G$2:$G$37000,'Accounting data'!$H$2:$H$37000,"1500*",'Accounting data'!$I$2:$I$37000,"1*",'Accounting data'!$J$2:$J$37000,"25*",'Accounting data'!$K$2:$K$37000,"63*")</f>
        <v>26106</v>
      </c>
      <c r="G13" s="553">
        <f>SUMIFS('Accounting data'!$G$2:$G$37000,'Accounting data'!$H$2:$H$37000,"1000*",'Accounting data'!$I$2:$I$37000,"1*",'Accounting data'!$J$2:$J$37000,"25*",'Accounting data'!$K$2:$K$37000,"66*")+SUMIFS('Accounting data'!$G$2:$G$37000,'Accounting data'!$H$2:$H$37000,"1500*",'Accounting data'!$I$2:$I$37000,"1*",'Accounting data'!$J$2:$J$37000,"25*",'Accounting data'!$K$2:$K$37000,"66*")</f>
        <v>53615</v>
      </c>
      <c r="H13" s="553">
        <f>SUMIFS('Accounting data'!$G$2:$G$37000,'Accounting data'!$H$2:$H$37000,"1000*",'Accounting data'!$I$2:$I$37000,"1*",'Accounting data'!$J$2:$J$37000,"25*",'Accounting data'!$K$2:$K$37000,"68*")+SUMIFS('Accounting data'!$G$2:$G$37000,'Accounting data'!$H$2:$H$37000,"1500*",'Accounting data'!$I$2:$I$37000,"1*",'Accounting data'!$J$2:$J$37000,"25*",'Accounting data'!$K$2:$K$37000,"68*")</f>
        <v>0</v>
      </c>
      <c r="I13" s="552">
        <f>[1]!SP1000P100F2500</f>
        <v>293994</v>
      </c>
      <c r="J13" s="554">
        <f t="shared" si="0"/>
        <v>79721</v>
      </c>
      <c r="K13" s="552">
        <f>[2]!SP1000P100F2500</f>
        <v>99338</v>
      </c>
      <c r="L13" s="555">
        <f t="shared" si="1"/>
        <v>-0.19750000000000001</v>
      </c>
      <c r="M13" s="93" t="s">
        <v>35</v>
      </c>
    </row>
    <row r="14" spans="1:32" ht="12" customHeight="1" x14ac:dyDescent="0.25">
      <c r="A14" s="91" t="s">
        <v>108</v>
      </c>
      <c r="C14" s="92" t="s">
        <v>36</v>
      </c>
      <c r="D14" s="553">
        <f>SUMIFS('Accounting data'!$G$2:$G$37000,'Accounting data'!$H$2:$H$37000,"1000*",'Accounting data'!$I$2:$I$37000,"1*",'Accounting data'!$J$2:$J$37000,"26*",'Accounting data'!$K$2:$K$37000,"61*")+SUMIFS('Accounting data'!$G$2:$G$37000,'Accounting data'!$H$2:$H$37000,"1500*",'Accounting data'!$I$2:$I$37000,"1*",'Accounting data'!$J$2:$J$37000,"26*",'Accounting data'!$K$2:$K$37000,"61*")</f>
        <v>0</v>
      </c>
      <c r="E14" s="553">
        <f>SUMIFS('Accounting data'!$G$2:$G$37000,'Accounting data'!$H$2:$H$37000,"1000*",'Accounting data'!$I$2:$I$37000,"1*",'Accounting data'!$J$2:$J$37000,"26*",'Accounting data'!$K$2:$K$37000,"62*")+SUMIFS('Accounting data'!$G$2:$G$37000,'Accounting data'!$H$2:$H$37000,"1500*",'Accounting data'!$I$2:$I$37000,"1*",'Accounting data'!$J$2:$J$37000,"26*",'Accounting data'!$K$2:$K$37000,"62*")</f>
        <v>0</v>
      </c>
      <c r="F14" s="553">
        <f>SUMIFS('Accounting data'!$G$2:$G$37000,'Accounting data'!$H$2:$H$37000,"1000*",'Accounting data'!$I$2:$I$37000,"1*",'Accounting data'!$J$2:$J$37000,"26*",'Accounting data'!$K$2:$K$37000,"63*")+SUMIFS('Accounting data'!$G$2:$G$37000,'Accounting data'!$H$2:$H$37000,"1500*",'Accounting data'!$I$2:$I$37000,"1*",'Accounting data'!$J$2:$J$37000,"26*",'Accounting data'!$K$2:$K$37000,"63*")</f>
        <v>1004527</v>
      </c>
      <c r="G14" s="553">
        <f>SUMIFS('Accounting data'!$G$2:$G$37000,'Accounting data'!$H$2:$H$37000,"1000*",'Accounting data'!$I$2:$I$37000,"1*",'Accounting data'!$J$2:$J$37000,"26*",'Accounting data'!$K$2:$K$37000,"66*")+SUMIFS('Accounting data'!$G$2:$G$37000,'Accounting data'!$H$2:$H$37000,"1500*",'Accounting data'!$I$2:$I$37000,"1*",'Accounting data'!$J$2:$J$37000,"26*",'Accounting data'!$K$2:$K$37000,"66*")</f>
        <v>100</v>
      </c>
      <c r="H14" s="553">
        <f>SUMIFS('Accounting data'!$G$2:$G$37000,'Accounting data'!$H$2:$H$37000,"1000*",'Accounting data'!$I$2:$I$37000,"1*",'Accounting data'!$J$2:$J$37000,"26*",'Accounting data'!$K$2:$K$37000,"68*")+SUMIFS('Accounting data'!$G$2:$G$37000,'Accounting data'!$H$2:$H$37000,"1500*",'Accounting data'!$I$2:$I$37000,"1*",'Accounting data'!$J$2:$J$37000,"26*",'Accounting data'!$K$2:$K$37000,"68*")</f>
        <v>0</v>
      </c>
      <c r="I14" s="552">
        <f>[1]!SP1000P100F2600</f>
        <v>225695</v>
      </c>
      <c r="J14" s="554">
        <f t="shared" si="0"/>
        <v>1004627</v>
      </c>
      <c r="K14" s="552">
        <f>[2]!SP1000P100F2600</f>
        <v>1073051</v>
      </c>
      <c r="L14" s="555">
        <f t="shared" si="1"/>
        <v>-6.3799999999999996E-2</v>
      </c>
      <c r="M14" s="93" t="s">
        <v>36</v>
      </c>
    </row>
    <row r="15" spans="1:32" ht="12" customHeight="1" x14ac:dyDescent="0.25">
      <c r="A15" s="91" t="s">
        <v>109</v>
      </c>
      <c r="C15" s="92" t="s">
        <v>38</v>
      </c>
      <c r="D15" s="553">
        <f>SUMIFS('Accounting data'!$G$2:$G$37000,'Accounting data'!$H$2:$H$37000,"1000*",'Accounting data'!$I$2:$I$37000,"1*",'Accounting data'!$J$2:$J$37000,"29*",'Accounting data'!$K$2:$K$37000,"61*")+SUMIFS('Accounting data'!$G$2:$G$37000,'Accounting data'!$H$2:$H$37000,"1500*",'Accounting data'!$I$2:$I$37000,"1*",'Accounting data'!$J$2:$J$37000,"29*",'Accounting data'!$K$2:$K$37000,"61*")</f>
        <v>0</v>
      </c>
      <c r="E15" s="553">
        <f>SUMIFS('Accounting data'!$G$2:$G$37000,'Accounting data'!$H$2:$H$37000,"1000*",'Accounting data'!$I$2:$I$37000,"1*",'Accounting data'!$J$2:$J$37000,"29*",'Accounting data'!$K$2:$K$37000,"62*")+SUMIFS('Accounting data'!$G$2:$G$37000,'Accounting data'!$H$2:$H$37000,"1500*",'Accounting data'!$I$2:$I$37000,"1*",'Accounting data'!$J$2:$J$37000,"29*",'Accounting data'!$K$2:$K$37000,"62*")</f>
        <v>0</v>
      </c>
      <c r="F15" s="553">
        <f>SUMIFS('Accounting data'!$G$2:$G$37000,'Accounting data'!$H$2:$H$37000,"1000*",'Accounting data'!$I$2:$I$37000,"1*",'Accounting data'!$J$2:$J$37000,"29*",'Accounting data'!$K$2:$K$37000,"63*")+SUMIFS('Accounting data'!$G$2:$G$37000,'Accounting data'!$H$2:$H$37000,"1500*",'Accounting data'!$I$2:$I$37000,"1*",'Accounting data'!$J$2:$J$37000,"29*",'Accounting data'!$K$2:$K$37000,"63*")</f>
        <v>0</v>
      </c>
      <c r="G15" s="553">
        <f>SUMIFS('Accounting data'!$G$2:$G$37000,'Accounting data'!$H$2:$H$37000,"1000*",'Accounting data'!$I$2:$I$37000,"1*",'Accounting data'!$J$2:$J$37000,"29*",'Accounting data'!$K$2:$K$37000,"66*")+SUMIFS('Accounting data'!$G$2:$G$37000,'Accounting data'!$H$2:$H$37000,"1500*",'Accounting data'!$I$2:$I$37000,"1*",'Accounting data'!$J$2:$J$37000,"29*",'Accounting data'!$K$2:$K$37000,"66*")</f>
        <v>0</v>
      </c>
      <c r="H15" s="553">
        <f>SUMIFS('Accounting data'!$G$2:$G$37000,'Accounting data'!$H$2:$H$37000,"1000*",'Accounting data'!$I$2:$I$37000,"1*",'Accounting data'!$J$2:$J$37000,"29*",'Accounting data'!$K$2:$K$37000,"68*")+SUMIFS('Accounting data'!$G$2:$G$37000,'Accounting data'!$H$2:$H$37000,"1500*",'Accounting data'!$I$2:$I$37000,"1*",'Accounting data'!$J$2:$J$37000,"29*",'Accounting data'!$K$2:$K$37000,"68*")</f>
        <v>0</v>
      </c>
      <c r="I15" s="552">
        <f>[1]!SP1000P100F2900</f>
        <v>0</v>
      </c>
      <c r="J15" s="554">
        <f t="shared" si="0"/>
        <v>0</v>
      </c>
      <c r="K15" s="552">
        <f>[2]!SP1000P100F2900</f>
        <v>0</v>
      </c>
      <c r="L15" s="555">
        <f t="shared" si="1"/>
        <v>0</v>
      </c>
      <c r="M15" s="93" t="s">
        <v>38</v>
      </c>
    </row>
    <row r="16" spans="1:32" ht="12" customHeight="1" x14ac:dyDescent="0.25">
      <c r="A16" s="91" t="s">
        <v>110</v>
      </c>
      <c r="C16" s="92" t="s">
        <v>40</v>
      </c>
      <c r="D16" s="553">
        <f>SUMIFS('Accounting data'!$G$2:$G$37000,'Accounting data'!$H$2:$H$37000,"1000*",'Accounting data'!$I$2:$I$37000,"1*",'Accounting data'!$J$2:$J$37000,"3*",'Accounting data'!$K$2:$K$37000,"61*")+SUMIFS('Accounting data'!$G$2:$G$37000,'Accounting data'!$H$2:$H$37000,"1500*",'Accounting data'!$I$2:$I$37000,"1*",'Accounting data'!$J$2:$J$37000,"3*",'Accounting data'!$K$2:$K$37000,"61*")</f>
        <v>0</v>
      </c>
      <c r="E16" s="553">
        <f>SUMIFS('Accounting data'!$G$2:$G$37000,'Accounting data'!$H$2:$H$37000,"1000*",'Accounting data'!$I$2:$I$37000,"1*",'Accounting data'!$J$2:$J$37000,"3*",'Accounting data'!$K$2:$K$37000,"62*")+SUMIFS('Accounting data'!$G$2:$G$37000,'Accounting data'!$H$2:$H$37000,"1500*",'Accounting data'!$I$2:$I$37000,"1*",'Accounting data'!$J$2:$J$37000,"3*",'Accounting data'!$K$2:$K$37000,"62*")</f>
        <v>0</v>
      </c>
      <c r="F16" s="553">
        <f>SUMIFS('Accounting data'!$G$2:$G$37000,'Accounting data'!$H$2:$H$37000,"1000*",'Accounting data'!$I$2:$I$37000,"1*",'Accounting data'!$J$2:$J$37000,"3*",'Accounting data'!$K$2:$K$37000,"63*")+SUMIFS('Accounting data'!$G$2:$G$37000,'Accounting data'!$H$2:$H$37000,"1500*",'Accounting data'!$I$2:$I$37000,"1*",'Accounting data'!$J$2:$J$37000,"3*",'Accounting data'!$K$2:$K$37000,"63*")</f>
        <v>0</v>
      </c>
      <c r="G16" s="553">
        <f>SUMIFS('Accounting data'!$G$2:$G$37000,'Accounting data'!$H$2:$H$37000,"1000*",'Accounting data'!$I$2:$I$37000,"1*",'Accounting data'!$J$2:$J$37000,"3*",'Accounting data'!$K$2:$K$37000,"66*")+SUMIFS('Accounting data'!$G$2:$G$37000,'Accounting data'!$H$2:$H$37000,"1500*",'Accounting data'!$I$2:$I$37000,"1*",'Accounting data'!$J$2:$J$37000,"3*",'Accounting data'!$K$2:$K$37000,"66*")</f>
        <v>0</v>
      </c>
      <c r="H16" s="553">
        <f>SUMIFS('Accounting data'!$G$2:$G$37000,'Accounting data'!$H$2:$H$37000,"1000*",'Accounting data'!$I$2:$I$37000,"1*",'Accounting data'!$J$2:$J$37000,"3*",'Accounting data'!$K$2:$K$37000,"68*")+SUMIFS('Accounting data'!$G$2:$G$37000,'Accounting data'!$H$2:$H$37000,"1500*",'Accounting data'!$I$2:$I$37000,"1*",'Accounting data'!$J$2:$J$37000,"3*",'Accounting data'!$K$2:$K$37000,"68*")</f>
        <v>0</v>
      </c>
      <c r="I16" s="552">
        <f>[1]!SP1000P100F3000</f>
        <v>0</v>
      </c>
      <c r="J16" s="554">
        <f t="shared" si="0"/>
        <v>0</v>
      </c>
      <c r="K16" s="552">
        <f>[2]!SP1000P100F3000</f>
        <v>0</v>
      </c>
      <c r="L16" s="555">
        <f t="shared" si="1"/>
        <v>0</v>
      </c>
      <c r="M16" s="93" t="s">
        <v>40</v>
      </c>
    </row>
    <row r="17" spans="1:25" ht="12" customHeight="1" x14ac:dyDescent="0.25">
      <c r="A17" s="91" t="s">
        <v>111</v>
      </c>
      <c r="C17" s="92" t="s">
        <v>42</v>
      </c>
      <c r="D17" s="553">
        <f>SUMIFS('Accounting data'!$G$2:$G$37000,'Accounting data'!$H$2:$H$37000,"1000*",'Accounting data'!$I$2:$I$37000,"1*",'Accounting data'!$J$2:$J$37000,"4*",'Accounting data'!$K$2:$K$37000,"61*")+SUMIFS('Accounting data'!$G$2:$G$37000,'Accounting data'!$H$2:$H$37000,"1500*",'Accounting data'!$I$2:$I$37000,"1*",'Accounting data'!$J$2:$J$37000,"4*",'Accounting data'!$K$2:$K$37000,"61*")</f>
        <v>0</v>
      </c>
      <c r="E17" s="553">
        <f>SUMIFS('Accounting data'!$G$2:$G$37000,'Accounting data'!$H$2:$H$37000,"1000*",'Accounting data'!$I$2:$I$37000,"1*",'Accounting data'!$J$2:$J$37000,"4*",'Accounting data'!$K$2:$K$37000,"62*")+SUMIFS('Accounting data'!$G$2:$G$37000,'Accounting data'!$H$2:$H$37000,"1500*",'Accounting data'!$I$2:$I$37000,"1*",'Accounting data'!$J$2:$J$37000,"4*",'Accounting data'!$K$2:$K$37000,"62*")</f>
        <v>0</v>
      </c>
      <c r="F17" s="553">
        <f>SUMIFS('Accounting data'!$G$2:$G$37000,'Accounting data'!$H$2:$H$37000,"1000*",'Accounting data'!$I$2:$I$37000,"1*",'Accounting data'!$J$2:$J$37000,"4*",'Accounting data'!$K$2:$K$37000,"63*")+SUMIFS('Accounting data'!$G$2:$G$37000,'Accounting data'!$H$2:$H$37000,"1500*",'Accounting data'!$I$2:$I$37000,"1*",'Accounting data'!$J$2:$J$37000,"4*",'Accounting data'!$K$2:$K$37000,"63*")</f>
        <v>0</v>
      </c>
      <c r="G17" s="553">
        <f>SUMIFS('Accounting data'!$G$2:$G$37000,'Accounting data'!$H$2:$H$37000,"1000*",'Accounting data'!$I$2:$I$37000,"1*",'Accounting data'!$J$2:$J$37000,"4*",'Accounting data'!$K$2:$K$37000,"66*")+SUMIFS('Accounting data'!$G$2:$G$37000,'Accounting data'!$H$2:$H$37000,"1500*",'Accounting data'!$I$2:$I$37000,"1*",'Accounting data'!$J$2:$J$37000,"4*",'Accounting data'!$K$2:$K$37000,"66*")</f>
        <v>0</v>
      </c>
      <c r="H17" s="553">
        <f>SUMIFS('Accounting data'!$G$2:$G$37000,'Accounting data'!$H$2:$H$37000,"1000*",'Accounting data'!$I$2:$I$37000,"1*",'Accounting data'!$J$2:$J$37000,"4*",'Accounting data'!$K$2:$K$37000,"68*")+SUMIFS('Accounting data'!$G$2:$G$37000,'Accounting data'!$H$2:$H$37000,"1500*",'Accounting data'!$I$2:$I$37000,"1*",'Accounting data'!$J$2:$J$37000,"4*",'Accounting data'!$K$2:$K$37000,"68*")</f>
        <v>0</v>
      </c>
      <c r="I17" s="552">
        <f>[1]!SP1000P100F4000</f>
        <v>0</v>
      </c>
      <c r="J17" s="554">
        <f t="shared" si="0"/>
        <v>0</v>
      </c>
      <c r="K17" s="552">
        <f>[2]!SP1000P100F4000</f>
        <v>0</v>
      </c>
      <c r="L17" s="555">
        <f t="shared" si="1"/>
        <v>0</v>
      </c>
      <c r="M17" s="93" t="s">
        <v>42</v>
      </c>
    </row>
    <row r="18" spans="1:25" ht="12" customHeight="1" x14ac:dyDescent="0.25">
      <c r="A18" s="91" t="s">
        <v>112</v>
      </c>
      <c r="C18" s="92" t="s">
        <v>44</v>
      </c>
      <c r="D18" s="553">
        <f>SUMIFS('Accounting data'!$G$2:$G$37000,'Accounting data'!$H$2:$H$37000,"1000*",'Accounting data'!$I$2:$I$37000,"1*",'Accounting data'!$J$2:$J$37000,"5*",'Accounting data'!$K$2:$K$37000,"61*")+SUMIFS('Accounting data'!$G$2:$G$37000,'Accounting data'!$H$2:$H$37000,"1500*",'Accounting data'!$I$2:$I$37000,"1*",'Accounting data'!$J$2:$J$37000,"5*",'Accounting data'!$K$2:$K$37000,"61*")</f>
        <v>0</v>
      </c>
      <c r="E18" s="553">
        <f>SUMIFS('Accounting data'!$G$2:$G$37000,'Accounting data'!$H$2:$H$37000,"1000*",'Accounting data'!$I$2:$I$37000,"1*",'Accounting data'!$J$2:$J$37000,"5*",'Accounting data'!$K$2:$K$37000,"62*")+SUMIFS('Accounting data'!$G$2:$G$37000,'Accounting data'!$H$2:$H$37000,"1500*",'Accounting data'!$I$2:$I$37000,"1*",'Accounting data'!$J$2:$J$37000,"5*",'Accounting data'!$K$2:$K$37000,"62*")</f>
        <v>0</v>
      </c>
      <c r="F18" s="553">
        <f>SUMIFS('Accounting data'!$G$2:$G$37000,'Accounting data'!$H$2:$H$37000,"1000*",'Accounting data'!$I$2:$I$37000,"1*",'Accounting data'!$J$2:$J$37000,"5*",'Accounting data'!$K$2:$K$37000,"63*")+SUMIFS('Accounting data'!$G$2:$G$37000,'Accounting data'!$H$2:$H$37000,"1500*",'Accounting data'!$I$2:$I$37000,"1*",'Accounting data'!$J$2:$J$37000,"5*",'Accounting data'!$K$2:$K$37000,"63*")</f>
        <v>0</v>
      </c>
      <c r="G18" s="553">
        <f>SUMIFS('Accounting data'!$G$2:$G$37000,'Accounting data'!$H$2:$H$37000,"1000*",'Accounting data'!$I$2:$I$37000,"1*",'Accounting data'!$J$2:$J$37000,"5*",'Accounting data'!$K$2:$K$37000,"66*")+SUMIFS('Accounting data'!$G$2:$G$37000,'Accounting data'!$H$2:$H$37000,"1500*",'Accounting data'!$I$2:$I$37000,"1*",'Accounting data'!$J$2:$J$37000,"5*",'Accounting data'!$K$2:$K$37000,"66*")</f>
        <v>0</v>
      </c>
      <c r="H18" s="553">
        <f>SUMIFS('Accounting data'!$G$2:$G$37000,'Accounting data'!$H$2:$H$37000,"1000*",'Accounting data'!$I$2:$I$37000,"1*",'Accounting data'!$J$2:$J$37000,"5*",'Accounting data'!$K$2:$K$37000,"68*")+SUMIFS('Accounting data'!$G$2:$G$37000,'Accounting data'!$H$2:$H$37000,"1500*",'Accounting data'!$I$2:$I$37000,"1*",'Accounting data'!$J$2:$J$37000,"5*",'Accounting data'!$K$2:$K$37000,"68*")</f>
        <v>19899</v>
      </c>
      <c r="I18" s="552">
        <f>[1]!SP1000P100F5000</f>
        <v>658145</v>
      </c>
      <c r="J18" s="554">
        <f t="shared" si="0"/>
        <v>19899</v>
      </c>
      <c r="K18" s="552">
        <f>[2]!SP1000P100F5000</f>
        <v>19899</v>
      </c>
      <c r="L18" s="555">
        <f t="shared" si="1"/>
        <v>0</v>
      </c>
      <c r="M18" s="93" t="s">
        <v>44</v>
      </c>
    </row>
    <row r="19" spans="1:25" ht="12" customHeight="1" x14ac:dyDescent="0.25">
      <c r="A19" s="91" t="s">
        <v>113</v>
      </c>
      <c r="C19" s="92" t="s">
        <v>45</v>
      </c>
      <c r="D19" s="553">
        <f>SUMIFS('Accounting data'!$G$2:$G$37000,'Accounting data'!$H$2:$H$37000,"1000*",'Accounting data'!$I$2:$I$37000,"61*",'Accounting data'!$K$2:$K$37000,"61*")+SUMIFS('Accounting data'!$G$2:$G$37000,'Accounting data'!$H$2:$H$37000,"1500*",'Accounting data'!$I$2:$I$37000,"61*",'Accounting data'!$K$2:$K$37000,"61*")</f>
        <v>0</v>
      </c>
      <c r="E19" s="553">
        <f>SUMIFS('Accounting data'!$G$2:$G$37000,'Accounting data'!$H$2:$H$37000,"1000*",'Accounting data'!$I$2:$I$37000,"61*",'Accounting data'!$K$2:$K$37000,"62*")+SUMIFS('Accounting data'!$G$2:$G$37000,'Accounting data'!$H$2:$H$37000,"1500*",'Accounting data'!$I$2:$I$37000,"61*",'Accounting data'!$K$2:$K$37000,"62*")</f>
        <v>0</v>
      </c>
      <c r="F19" s="553">
        <f>SUMIFS('Accounting data'!$G$2:$G$37000,'Accounting data'!$H$2:$H$37000,"1000*",'Accounting data'!$I$2:$I$37000,"61*",'Accounting data'!$K$2:$K$37000,"63*")+SUMIFS('Accounting data'!$G$2:$G$37000,'Accounting data'!$H$2:$H$37000,"1500*",'Accounting data'!$I$2:$I$37000,"61*",'Accounting data'!$K$2:$K$37000,"63*")</f>
        <v>0</v>
      </c>
      <c r="G19" s="553">
        <f>SUMIFS('Accounting data'!$G$2:$G$37000,'Accounting data'!$H$2:$H$37000,"1000*",'Accounting data'!$I$2:$I$37000,"61*",'Accounting data'!$K$2:$K$37000,"66*")+SUMIFS('Accounting data'!$G$2:$G$37000,'Accounting data'!$H$2:$H$37000,"1500*",'Accounting data'!$I$2:$I$37000,"61*",'Accounting data'!$K$2:$K$37000,"66*")</f>
        <v>0</v>
      </c>
      <c r="H19" s="553">
        <f>SUMIFS('Accounting data'!$G$2:$G$37000,'Accounting data'!$H$2:$H$37000,"1000*",'Accounting data'!$I$2:$I$37000,"61*",'Accounting data'!$K$2:$K$37000,"68*")+SUMIFS('Accounting data'!$G$2:$G$37000,'Accounting data'!$H$2:$H$37000,"1500*",'Accounting data'!$I$2:$I$37000,"61*",'Accounting data'!$K$2:$K$37000,"68*")</f>
        <v>0</v>
      </c>
      <c r="I19" s="552">
        <f>[1]!SP1000P610</f>
        <v>75000</v>
      </c>
      <c r="J19" s="554">
        <f t="shared" si="0"/>
        <v>0</v>
      </c>
      <c r="K19" s="552">
        <f>[2]!SP1000P610</f>
        <v>0</v>
      </c>
      <c r="L19" s="555">
        <f t="shared" si="1"/>
        <v>0</v>
      </c>
      <c r="M19" s="93" t="s">
        <v>45</v>
      </c>
    </row>
    <row r="20" spans="1:25" ht="12" customHeight="1" x14ac:dyDescent="0.25">
      <c r="A20" s="91" t="s">
        <v>114</v>
      </c>
      <c r="C20" s="92" t="s">
        <v>47</v>
      </c>
      <c r="D20" s="553">
        <f>SUMIFS('Accounting data'!$G$2:$G$37000,'Accounting data'!$H$2:$H$37000,"1000*",'Accounting data'!$I$2:$I$37000,"62*",'Accounting data'!$K$2:$K$37000,"61*")+SUMIFS('Accounting data'!$G$2:$G$37000,'Accounting data'!$H$2:$H$37000,"1500*",'Accounting data'!$I$2:$I$37000,"62*",'Accounting data'!$K$2:$K$37000,"61*")</f>
        <v>0</v>
      </c>
      <c r="E20" s="553">
        <f>SUMIFS('Accounting data'!$G$2:$G$37000,'Accounting data'!$H$2:$H$37000,"1000*",'Accounting data'!$I$2:$I$37000,"62*",'Accounting data'!$K$2:$K$37000,"62*")+SUMIFS('Accounting data'!$G$2:$G$37000,'Accounting data'!$H$2:$H$37000,"1500*",'Accounting data'!$I$2:$I$37000,"62*",'Accounting data'!$K$2:$K$37000,"62*")</f>
        <v>0</v>
      </c>
      <c r="F20" s="553">
        <f>SUMIFS('Accounting data'!$G$2:$G$37000,'Accounting data'!$H$2:$H$37000,"1000*",'Accounting data'!$I$2:$I$37000,"62*",'Accounting data'!$K$2:$K$37000,"63*")+SUMIFS('Accounting data'!$G$2:$G$37000,'Accounting data'!$H$2:$H$37000,"1500*",'Accounting data'!$I$2:$I$37000,"62*",'Accounting data'!$K$2:$K$37000,"63*")</f>
        <v>0</v>
      </c>
      <c r="G20" s="553">
        <f>SUMIFS('Accounting data'!$G$2:$G$37000,'Accounting data'!$H$2:$H$37000,"1000*",'Accounting data'!$I$2:$I$37000,"62*",'Accounting data'!$K$2:$K$37000,"66*")+SUMIFS('Accounting data'!$G$2:$G$37000,'Accounting data'!$H$2:$H$37000,"1500*",'Accounting data'!$I$2:$I$37000,"62*",'Accounting data'!$K$2:$K$37000,"66*")</f>
        <v>151489</v>
      </c>
      <c r="H20" s="553">
        <f>SUMIFS('Accounting data'!$G$2:$G$37000,'Accounting data'!$H$2:$H$37000,"1000*",'Accounting data'!$I$2:$I$37000,"62*",'Accounting data'!$K$2:$K$37000,"68*")+SUMIFS('Accounting data'!$G$2:$G$37000,'Accounting data'!$H$2:$H$37000,"1500*",'Accounting data'!$I$2:$I$37000,"62*",'Accounting data'!$K$2:$K$37000,"68*")</f>
        <v>0</v>
      </c>
      <c r="I20" s="552">
        <f>[1]!SP1000P620</f>
        <v>55000</v>
      </c>
      <c r="J20" s="554">
        <f t="shared" si="0"/>
        <v>151489</v>
      </c>
      <c r="K20" s="552">
        <f>[2]!SP1000P620</f>
        <v>99653</v>
      </c>
      <c r="L20" s="555">
        <f t="shared" si="1"/>
        <v>0.5202</v>
      </c>
      <c r="M20" s="93" t="s">
        <v>47</v>
      </c>
    </row>
    <row r="21" spans="1:25" ht="12" customHeight="1" x14ac:dyDescent="0.25">
      <c r="A21" s="91" t="s">
        <v>115</v>
      </c>
      <c r="C21" s="92" t="s">
        <v>49</v>
      </c>
      <c r="D21" s="553">
        <f>SUMIFS('Accounting data'!$G$2:$G$37000,'Accounting data'!$H$2:$H$37000,"1000*",'Accounting data'!$I$2:$I$37000,"63*",'Accounting data'!$K$2:$K$37000,"61*")+SUMIFS('Accounting data'!$G$2:$G$37000,'Accounting data'!$H$2:$H$37000,"1500*",'Accounting data'!$I$2:$I$37000,"63*",'Accounting data'!$K$2:$K$37000,"61*")</f>
        <v>0</v>
      </c>
      <c r="E21" s="553">
        <f>SUMIFS('Accounting data'!$G$2:$G$37000,'Accounting data'!$H$2:$H$37000,"1000*",'Accounting data'!$I$2:$I$37000,"63*",'Accounting data'!$K$2:$K$37000,"62*")+SUMIFS('Accounting data'!$G$2:$G$37000,'Accounting data'!$H$2:$H$37000,"1500*",'Accounting data'!$I$2:$I$37000,"63*",'Accounting data'!$K$2:$K$37000,"62*")</f>
        <v>0</v>
      </c>
      <c r="F21" s="553">
        <f>SUMIFS('Accounting data'!$G$2:$G$37000,'Accounting data'!$H$2:$H$37000,"1000*",'Accounting data'!$I$2:$I$37000,"63*",'Accounting data'!$K$2:$K$37000,"63*")+SUMIFS('Accounting data'!$G$2:$G$37000,'Accounting data'!$H$2:$H$37000,"1500*",'Accounting data'!$I$2:$I$37000,"63*",'Accounting data'!$K$2:$K$37000,"63*")</f>
        <v>0</v>
      </c>
      <c r="G21" s="553">
        <f>SUMIFS('Accounting data'!$G$2:$G$37000,'Accounting data'!$H$2:$H$37000,"1000*",'Accounting data'!$I$2:$I$37000,"63*",'Accounting data'!$K$2:$K$37000,"66*")+SUMIFS('Accounting data'!$G$2:$G$37000,'Accounting data'!$H$2:$H$37000,"1500*",'Accounting data'!$I$2:$I$37000,"63*",'Accounting data'!$K$2:$K$37000,"66*")</f>
        <v>0</v>
      </c>
      <c r="H21" s="601">
        <f>SUMIFS('Accounting data'!$G$2:$G$37000,'Accounting data'!$H$2:$H$37000,"1000*",'Accounting data'!$I$2:$I$37000,"63*",'Accounting data'!$K$2:$K$37000,"68*")+SUMIFS('Accounting data'!$G$2:$G$37000,'Accounting data'!$H$2:$H$37000,"1500*",'Accounting data'!$I$2:$I$37000,"63*",'Accounting data'!$K$2:$K$37000,"68*")</f>
        <v>0</v>
      </c>
      <c r="I21" s="814">
        <f>[1]!SP1000P630700800900</f>
        <v>0</v>
      </c>
      <c r="J21" s="602">
        <f t="shared" si="0"/>
        <v>0</v>
      </c>
      <c r="K21" s="552">
        <f>'[2]Page 2'!$J$21</f>
        <v>0</v>
      </c>
      <c r="L21" s="819">
        <f>IF(J21+J22=K22,0,IF(K22&gt;0,(J21+J22-K22)/K22,"--"))</f>
        <v>0</v>
      </c>
      <c r="M21" s="68" t="s">
        <v>49</v>
      </c>
    </row>
    <row r="22" spans="1:25" ht="12" customHeight="1" x14ac:dyDescent="0.25">
      <c r="A22" s="91" t="s">
        <v>116</v>
      </c>
      <c r="C22" s="92" t="s">
        <v>51</v>
      </c>
      <c r="D22" s="553">
        <f>SUMIFS('Accounting data'!$G$2:$G$37000,'Accounting data'!$H$2:$H$37000,"1000*",'Accounting data'!$I$2:$I$37000,"7*",'Accounting data'!$K$2:$K$37000,"61*")+SUMIFS('Accounting data'!$G$2:$G$37000,'Accounting data'!$H$2:$H$37000,"1000*",'Accounting data'!$I$2:$I$37000,"8*",'Accounting data'!$K$2:$K$37000,"61*")+SUMIFS('Accounting data'!$G$2:$G$37000,'Accounting data'!$H$2:$H$37000,"1000*",'Accounting data'!$I$2:$I$37000,"9*",'Accounting data'!$K$2:$K$37000,"61*")+SUMIFS('Accounting data'!$G$2:$G$37000,'Accounting data'!$H$2:$H$37000,"1500*",'Accounting data'!$I$2:$I$37000,"7*",'Accounting data'!$K$2:$K$37000,"61*")+SUMIFS('Accounting data'!$G$2:$G$37000,'Accounting data'!$H$2:$H$37000,"1500*",'Accounting data'!$I$2:$I$37000,"8*",'Accounting data'!$K$2:$K$37000,"61*")+SUMIFS('Accounting data'!$G$2:$G$37000,'Accounting data'!$H$2:$H$37000,"1500*",'Accounting data'!$I$2:$I$37000,"9*",'Accounting data'!$K$2:$K$37000,"61*")</f>
        <v>0</v>
      </c>
      <c r="E22" s="553">
        <f>SUMIFS('Accounting data'!$G$2:$G$37000,'Accounting data'!$H$2:$H$37000,"1000*",'Accounting data'!$I$2:$I$37000,"7*",'Accounting data'!$K$2:$K$37000,"62*")+SUMIFS('Accounting data'!$G$2:$G$37000,'Accounting data'!$H$2:$H$37000,"1000*",'Accounting data'!$I$2:$I$37000,"8*",'Accounting data'!$K$2:$K$37000,"62*")+SUMIFS('Accounting data'!$G$2:$G$37000,'Accounting data'!$H$2:$H$37000,"1000*",'Accounting data'!$I$2:$I$37000,"9*",'Accounting data'!$K$2:$K$37000,"62*")+SUMIFS('Accounting data'!$G$2:$G$37000,'Accounting data'!$H$2:$H$37000,"1500*",'Accounting data'!$I$2:$I$37000,"7*",'Accounting data'!$K$2:$K$37000,"62*")+SUMIFS('Accounting data'!$G$2:$G$37000,'Accounting data'!$H$2:$H$37000,"1500*",'Accounting data'!$I$2:$I$37000,"8*",'Accounting data'!$K$2:$K$37000,"62*")+SUMIFS('Accounting data'!$G$2:$G$37000,'Accounting data'!$H$2:$H$37000,"1500*",'Accounting data'!$I$2:$I$37000,"9*",'Accounting data'!$K$2:$K$37000,"62*")</f>
        <v>0</v>
      </c>
      <c r="F22" s="553">
        <f>SUMIFS('Accounting data'!$G$2:$G$37000,'Accounting data'!$H$2:$H$37000,"1000*",'Accounting data'!$I$2:$I$37000,"7*",'Accounting data'!$K$2:$K$37000,"63*")+SUMIFS('Accounting data'!$G$2:$G$37000,'Accounting data'!$H$2:$H$37000,"1000*",'Accounting data'!$I$2:$I$37000,"8*",'Accounting data'!$K$2:$K$37000,"63*")+SUMIFS('Accounting data'!$G$2:$G$37000,'Accounting data'!$H$2:$H$37000,"1000*",'Accounting data'!$I$2:$I$37000,"9*",'Accounting data'!$K$2:$K$37000,"63*")+SUMIFS('Accounting data'!$G$2:$G$37000,'Accounting data'!$H$2:$H$37000,"1500*",'Accounting data'!$I$2:$I$37000,"7*",'Accounting data'!$K$2:$K$37000,"63*")+SUMIFS('Accounting data'!$G$2:$G$37000,'Accounting data'!$H$2:$H$37000,"1500*",'Accounting data'!$I$2:$I$37000,"8*",'Accounting data'!$K$2:$K$37000,"63*")+SUMIFS('Accounting data'!$G$2:$G$37000,'Accounting data'!$H$2:$H$37000,"1500*",'Accounting data'!$I$2:$I$37000,"9*",'Accounting data'!$K$2:$K$37000,"63*")</f>
        <v>0</v>
      </c>
      <c r="G22" s="553">
        <f>SUMIFS('Accounting data'!$G$2:$G$37000,'Accounting data'!$H$2:$H$37000,"1000*",'Accounting data'!$I$2:$I$37000,"7*",'Accounting data'!$K$2:$K$37000,"66*")+SUMIFS('Accounting data'!$G$2:$G$37000,'Accounting data'!$H$2:$H$37000,"1000*",'Accounting data'!$I$2:$I$37000,"8*",'Accounting data'!$K$2:$K$37000,"66*")+SUMIFS('Accounting data'!$G$2:$G$37000,'Accounting data'!$H$2:$H$37000,"1000*",'Accounting data'!$I$2:$I$37000,"9*",'Accounting data'!$K$2:$K$37000,"66*")+SUMIFS('Accounting data'!$G$2:$G$37000,'Accounting data'!$H$2:$H$37000,"1500*",'Accounting data'!$I$2:$I$37000,"7*",'Accounting data'!$K$2:$K$37000,"66*")+SUMIFS('Accounting data'!$G$2:$G$37000,'Accounting data'!$H$2:$H$37000,"1500*",'Accounting data'!$I$2:$I$37000,"8*",'Accounting data'!$K$2:$K$37000,"66*")+SUMIFS('Accounting data'!$G$2:$G$37000,'Accounting data'!$H$2:$H$37000,"1500*",'Accounting data'!$I$2:$I$37000,"9*",'Accounting data'!$K$2:$K$37000,"66*")</f>
        <v>0</v>
      </c>
      <c r="H22" s="553">
        <f>SUMIFS('Accounting data'!$G$2:$G$37000,'Accounting data'!$H$2:$H$37000,"1000*",'Accounting data'!$I$2:$I$37000,"7*",'Accounting data'!$K$2:$K$37000,"68*")+SUMIFS('Accounting data'!$G$2:$G$37000,'Accounting data'!$H$2:$H$37000,"1000*",'Accounting data'!$I$2:$I$37000,"8*",'Accounting data'!$K$2:$K$37000,"68*")+SUMIFS('Accounting data'!$G$2:$G$37000,'Accounting data'!$H$2:$H$37000,"1000*",'Accounting data'!$I$2:$I$37000,"9*",'Accounting data'!$K$2:$K$37000,"68*")+SUMIFS('Accounting data'!$G$2:$G$37000,'Accounting data'!$H$2:$H$37000,"1500*",'Accounting data'!$I$2:$I$37000,"7*",'Accounting data'!$K$2:$K$37000,"68*")+SUMIFS('Accounting data'!$G$2:$G$37000,'Accounting data'!$H$2:$H$37000,"1500*",'Accounting data'!$I$2:$I$37000,"8*",'Accounting data'!$K$2:$K$37000,"68*")+SUMIFS('Accounting data'!$G$2:$G$37000,'Accounting data'!$H$2:$H$37000,"1500*",'Accounting data'!$I$2:$I$37000,"9*",'Accounting data'!$K$2:$K$37000,"68*")</f>
        <v>0</v>
      </c>
      <c r="I22" s="815"/>
      <c r="J22" s="554">
        <f t="shared" si="0"/>
        <v>0</v>
      </c>
      <c r="K22" s="552">
        <f>[2]!SP1000P630700800900</f>
        <v>0</v>
      </c>
      <c r="L22" s="821"/>
      <c r="M22" s="68" t="s">
        <v>51</v>
      </c>
    </row>
    <row r="23" spans="1:25" ht="12" customHeight="1" x14ac:dyDescent="0.25">
      <c r="A23" s="95" t="s">
        <v>117</v>
      </c>
      <c r="B23" s="6"/>
      <c r="C23" s="96" t="s">
        <v>53</v>
      </c>
      <c r="D23" s="553">
        <f t="shared" ref="D23:H23" si="2">SUM(D6:D22)</f>
        <v>948108</v>
      </c>
      <c r="E23" s="553">
        <f t="shared" si="2"/>
        <v>86351</v>
      </c>
      <c r="F23" s="553">
        <f t="shared" si="2"/>
        <v>1770316</v>
      </c>
      <c r="G23" s="553">
        <f t="shared" si="2"/>
        <v>733156</v>
      </c>
      <c r="H23" s="553">
        <f t="shared" si="2"/>
        <v>19899</v>
      </c>
      <c r="I23" s="554">
        <f>SUM(I7:I22)</f>
        <v>3298343</v>
      </c>
      <c r="J23" s="554">
        <f>SUM(J7:J22)</f>
        <v>3557830</v>
      </c>
      <c r="K23" s="554">
        <f>SUM(K7:K22)</f>
        <v>2476635</v>
      </c>
      <c r="L23" s="555">
        <f>IF(J23=K23,0,IF(K23&gt;0,(J23-K23)/K23,"--"))</f>
        <v>0.43659999999999999</v>
      </c>
      <c r="M23" s="68" t="s">
        <v>53</v>
      </c>
    </row>
    <row r="24" spans="1:25" ht="12" customHeight="1" x14ac:dyDescent="0.25">
      <c r="A24" s="97" t="s">
        <v>118</v>
      </c>
      <c r="C24" s="80"/>
      <c r="D24" s="90"/>
      <c r="E24" s="90"/>
      <c r="F24" s="90"/>
      <c r="G24" s="90"/>
      <c r="H24" s="90"/>
      <c r="I24" s="90"/>
      <c r="J24" s="90"/>
      <c r="K24" s="90"/>
      <c r="L24" s="819">
        <f>IF(J25=K25,0,IF(K25&gt;0,(J25-K25)/K25,"--"))</f>
        <v>0.10299999999999999</v>
      </c>
      <c r="M24" s="569"/>
    </row>
    <row r="25" spans="1:25" ht="12" customHeight="1" x14ac:dyDescent="0.25">
      <c r="A25" s="91" t="s">
        <v>119</v>
      </c>
      <c r="C25" s="92" t="s">
        <v>55</v>
      </c>
      <c r="D25" s="557">
        <f>SUMIFS('Accounting data'!$G$2:$G$37000,'Accounting data'!$H$2:$H$37000,"1000*",'Accounting data'!$I$2:$I$37000,"200*",'Accounting data'!$J$2:$J$37000,"1*",'Accounting data'!$K$2:$K$37000,"61*")+SUMIFS('Accounting data'!$G$2:$G$37000,'Accounting data'!$H$2:$H$37000,"1500*",'Accounting data'!$I$2:$I$37000,"200*",'Accounting data'!$J$2:$J$37000,"1*",'Accounting data'!$K$2:$K$37000,"61*")+SUMIFS('Accounting data'!$G$2:$G$37000,'Accounting data'!$H$2:$H$37000,"1000*",'Accounting data'!$I$2:$I$37000,"270*",'Accounting data'!$J$2:$J$37000,"1*",'Accounting data'!$K$2:$K$37000,"61*")+SUMIFS('Accounting data'!$G$2:$G$37000,'Accounting data'!$H$2:$H$37000,"1500*",'Accounting data'!$I$2:$I$37000,"270*",'Accounting data'!$J$2:$J$37000,"1*",'Accounting data'!$K$2:$K$37000,"61*")</f>
        <v>0</v>
      </c>
      <c r="E25" s="557">
        <f>SUMIFS('Accounting data'!$G$2:$G$37000,'Accounting data'!$H$2:$H$37000,"1000*",'Accounting data'!$I$2:$I$37000,"200*",'Accounting data'!$J$2:$J$37000,"1*",'Accounting data'!$K$2:$K$37000,"62*")+SUMIFS('Accounting data'!$G$2:$G$37000,'Accounting data'!$H$2:$H$37000,"1500*",'Accounting data'!$I$2:$I$37000,"200*",'Accounting data'!$J$2:$J$37000,"1*",'Accounting data'!$K$2:$K$37000,"62*")+SUMIFS('Accounting data'!$G$2:$G$37000,'Accounting data'!$H$2:$H$37000,"1000*",'Accounting data'!$I$2:$I$37000,"270*",'Accounting data'!$J$2:$J$37000,"1*",'Accounting data'!$K$2:$K$37000,"62*")+SUMIFS('Accounting data'!$G$2:$G$37000,'Accounting data'!$H$2:$H$37000,"1500*",'Accounting data'!$I$2:$I$37000,"270*",'Accounting data'!$J$2:$J$37000,"1*",'Accounting data'!$K$2:$K$37000,"62*")</f>
        <v>0</v>
      </c>
      <c r="F25" s="557">
        <f>SUMIFS('Accounting data'!$G$2:$G$37000,'Accounting data'!$H$2:$H$37000,"1000*",'Accounting data'!$I$2:$I$37000,"200*",'Accounting data'!$J$2:$J$37000,"1*",'Accounting data'!$K$2:$K$37000,"63*")+SUMIFS('Accounting data'!$G$2:$G$37000,'Accounting data'!$H$2:$H$37000,"1500*",'Accounting data'!$I$2:$I$37000,"200*",'Accounting data'!$J$2:$J$37000,"1*",'Accounting data'!$K$2:$K$37000,"63*")+SUMIFS('Accounting data'!$G$2:$G$37000,'Accounting data'!$H$2:$H$37000,"1000*",'Accounting data'!$I$2:$I$37000,"270*",'Accounting data'!$J$2:$J$37000,"1*",'Accounting data'!$K$2:$K$37000,"63*")+SUMIFS('Accounting data'!$G$2:$G$37000,'Accounting data'!$H$2:$H$37000,"1500*",'Accounting data'!$I$2:$I$37000,"270*",'Accounting data'!$J$2:$J$37000,"1*",'Accounting data'!$K$2:$K$37000,"63*")</f>
        <v>37504</v>
      </c>
      <c r="G25" s="557">
        <f>SUMIFS('Accounting data'!$G$2:$G$37000,'Accounting data'!$H$2:$H$37000,"1000*",'Accounting data'!$I$2:$I$37000,"200*",'Accounting data'!$J$2:$J$37000,"1*",'Accounting data'!$K$2:$K$37000,"66*")+SUMIFS('Accounting data'!$G$2:$G$37000,'Accounting data'!$H$2:$H$37000,"1500*",'Accounting data'!$I$2:$I$37000,"200*",'Accounting data'!$J$2:$J$37000,"1*",'Accounting data'!$K$2:$K$37000,"66*")+SUMIFS('Accounting data'!$G$2:$G$37000,'Accounting data'!$H$2:$H$37000,"1000*",'Accounting data'!$I$2:$I$37000,"270*",'Accounting data'!$J$2:$J$37000,"1*",'Accounting data'!$K$2:$K$37000,"66*")+SUMIFS('Accounting data'!$G$2:$G$37000,'Accounting data'!$H$2:$H$37000,"1500*",'Accounting data'!$I$2:$I$37000,"270*",'Accounting data'!$J$2:$J$37000,"1*",'Accounting data'!$K$2:$K$37000,"66*")</f>
        <v>0</v>
      </c>
      <c r="H25" s="557">
        <f>SUMIFS('Accounting data'!$G$2:$G$37000,'Accounting data'!$H$2:$H$37000,"1000*",'Accounting data'!$I$2:$I$37000,"200*",'Accounting data'!$J$2:$J$37000,"1*",'Accounting data'!$K$2:$K$37000,"68*")+SUMIFS('Accounting data'!$G$2:$G$37000,'Accounting data'!$H$2:$H$37000,"1500*",'Accounting data'!$I$2:$I$37000,"200*",'Accounting data'!$J$2:$J$37000,"1*",'Accounting data'!$K$2:$K$37000,"68*")+SUMIFS('Accounting data'!$G$2:$G$37000,'Accounting data'!$H$2:$H$37000,"1000*",'Accounting data'!$I$2:$I$37000,"270*",'Accounting data'!$J$2:$J$37000,"1*",'Accounting data'!$K$2:$K$37000,"68*")+SUMIFS('Accounting data'!$G$2:$G$37000,'Accounting data'!$H$2:$H$37000,"1500*",'Accounting data'!$I$2:$I$37000,"270*",'Accounting data'!$J$2:$J$37000,"1*",'Accounting data'!$K$2:$K$37000,"68*")</f>
        <v>0</v>
      </c>
      <c r="I25" s="557">
        <f>[1]!SP1000P200F1000</f>
        <v>35000</v>
      </c>
      <c r="J25" s="557">
        <f>SUM(D25:H25)</f>
        <v>37504</v>
      </c>
      <c r="K25" s="557">
        <f>[2]!SP1000P200F1000</f>
        <v>34002</v>
      </c>
      <c r="L25" s="820"/>
      <c r="M25" s="68" t="s">
        <v>55</v>
      </c>
      <c r="Y25" s="550"/>
    </row>
    <row r="26" spans="1:25" ht="12" customHeight="1" x14ac:dyDescent="0.25">
      <c r="A26" s="91" t="s">
        <v>120</v>
      </c>
      <c r="C26" s="92"/>
      <c r="D26" s="90"/>
      <c r="E26" s="90"/>
      <c r="F26" s="90"/>
      <c r="G26" s="90"/>
      <c r="H26" s="90"/>
      <c r="I26" s="90"/>
      <c r="J26" s="90"/>
      <c r="K26" s="90"/>
      <c r="L26" s="819">
        <f>IF(J27=K27,0,IF(K27&gt;0,(J27-K27)/K27,"--"))</f>
        <v>0</v>
      </c>
      <c r="M26" s="68"/>
      <c r="T26" s="550"/>
    </row>
    <row r="27" spans="1:25" ht="12" customHeight="1" x14ac:dyDescent="0.25">
      <c r="A27" s="91" t="s">
        <v>121</v>
      </c>
      <c r="C27" s="92" t="s">
        <v>57</v>
      </c>
      <c r="D27" s="557">
        <f>SUMIFS('Accounting data'!$G$2:$G$37000,'Accounting data'!$H$2:$H$37000,"1000*",'Accounting data'!$I$2:$I$37000,"200*",'Accounting data'!$J$2:$J$37000,"21*",'Accounting data'!$K$2:$K$37000,"61*")+SUMIFS('Accounting data'!$G$2:$G$37000,'Accounting data'!$H$2:$H$37000,"1500*",'Accounting data'!$I$2:$I$37000,"200*",'Accounting data'!$J$2:$J$37000,"21*",'Accounting data'!$K$2:$K$37000,"61*")+SUMIFS('Accounting data'!$G$2:$G$37000,'Accounting data'!$H$2:$H$37000,"1000*",'Accounting data'!$I$2:$I$37000,"270*",'Accounting data'!$J$2:$J$37000,"21*",'Accounting data'!$K$2:$K$37000,"61*")+SUMIFS('Accounting data'!$G$2:$G$37000,'Accounting data'!$H$2:$H$37000,"1500*",'Accounting data'!$I$2:$I$37000,"270*",'Accounting data'!$J$2:$J$37000,"21*",'Accounting data'!$K$2:$K$37000,"61*")</f>
        <v>0</v>
      </c>
      <c r="E27" s="557">
        <f>SUMIFS('Accounting data'!$G$2:$G$37000,'Accounting data'!$H$2:$H$37000,"1000*",'Accounting data'!$I$2:$I$37000,"200*",'Accounting data'!$J$2:$J$37000,"21*",'Accounting data'!$K$2:$K$37000,"62*")+SUMIFS('Accounting data'!$G$2:$G$37000,'Accounting data'!$H$2:$H$37000,"1500*",'Accounting data'!$I$2:$I$37000,"200*",'Accounting data'!$J$2:$J$37000,"21*",'Accounting data'!$K$2:$K$37000,"62*")+SUMIFS('Accounting data'!$G$2:$G$37000,'Accounting data'!$H$2:$H$37000,"1000*",'Accounting data'!$I$2:$I$37000,"270*",'Accounting data'!$J$2:$J$37000,"21*",'Accounting data'!$K$2:$K$37000,"62*")+SUMIFS('Accounting data'!$G$2:$G$37000,'Accounting data'!$H$2:$H$37000,"1500*",'Accounting data'!$I$2:$I$37000,"270*",'Accounting data'!$J$2:$J$37000,"21*",'Accounting data'!$K$2:$K$37000,"62*")</f>
        <v>0</v>
      </c>
      <c r="F27" s="557">
        <f>SUMIFS('Accounting data'!$G$2:$G$37000,'Accounting data'!$H$2:$H$37000,"1000*",'Accounting data'!$I$2:$I$37000,"200*",'Accounting data'!$J$2:$J$37000,"21*",'Accounting data'!$K$2:$K$37000,"63*")+SUMIFS('Accounting data'!$G$2:$G$37000,'Accounting data'!$H$2:$H$37000,"1500*",'Accounting data'!$I$2:$I$37000,"200*",'Accounting data'!$J$2:$J$37000,"21*",'Accounting data'!$K$2:$K$37000,"63*")+SUMIFS('Accounting data'!$G$2:$G$37000,'Accounting data'!$H$2:$H$37000,"1000*",'Accounting data'!$I$2:$I$37000,"270*",'Accounting data'!$J$2:$J$37000,"21*",'Accounting data'!$K$2:$K$37000,"63*")+SUMIFS('Accounting data'!$G$2:$G$37000,'Accounting data'!$H$2:$H$37000,"1500*",'Accounting data'!$I$2:$I$37000,"270*",'Accounting data'!$J$2:$J$37000,"21*",'Accounting data'!$K$2:$K$37000,"63*")</f>
        <v>0</v>
      </c>
      <c r="G27" s="557">
        <f>SUMIFS('Accounting data'!$G$2:$G$37000,'Accounting data'!$H$2:$H$37000,"1000*",'Accounting data'!$I$2:$I$37000,"200*",'Accounting data'!$J$2:$J$37000,"21*",'Accounting data'!$K$2:$K$37000,"66*")+SUMIFS('Accounting data'!$G$2:$G$37000,'Accounting data'!$H$2:$H$37000,"1500*",'Accounting data'!$I$2:$I$37000,"200*",'Accounting data'!$J$2:$J$37000,"21*",'Accounting data'!$K$2:$K$37000,"66*")+SUMIFS('Accounting data'!$G$2:$G$37000,'Accounting data'!$H$2:$H$37000,"1000*",'Accounting data'!$I$2:$I$37000,"270*",'Accounting data'!$J$2:$J$37000,"21*",'Accounting data'!$K$2:$K$37000,"66*")+SUMIFS('Accounting data'!$G$2:$G$37000,'Accounting data'!$H$2:$H$37000,"1500*",'Accounting data'!$I$2:$I$37000,"270*",'Accounting data'!$J$2:$J$37000,"21*",'Accounting data'!$K$2:$K$37000,"66*")</f>
        <v>0</v>
      </c>
      <c r="H27" s="557">
        <f>SUMIFS('Accounting data'!$G$2:$G$37000,'Accounting data'!$H$2:$H$37000,"1000*",'Accounting data'!$I$2:$I$37000,"200*",'Accounting data'!$J$2:$J$37000,"21*",'Accounting data'!$K$2:$K$37000,"68*")+SUMIFS('Accounting data'!$G$2:$G$37000,'Accounting data'!$H$2:$H$37000,"1500*",'Accounting data'!$I$2:$I$37000,"200*",'Accounting data'!$J$2:$J$37000,"21*",'Accounting data'!$K$2:$K$37000,"68*")+SUMIFS('Accounting data'!$G$2:$G$37000,'Accounting data'!$H$2:$H$37000,"1000*",'Accounting data'!$I$2:$I$37000,"270*",'Accounting data'!$J$2:$J$37000,"21*",'Accounting data'!$K$2:$K$37000,"68*")+SUMIFS('Accounting data'!$G$2:$G$37000,'Accounting data'!$H$2:$H$37000,"1500*",'Accounting data'!$I$2:$I$37000,"270*",'Accounting data'!$J$2:$J$37000,"21*",'Accounting data'!$K$2:$K$37000,"68*")</f>
        <v>0</v>
      </c>
      <c r="I27" s="557">
        <f>[1]!SP1000P200F2100</f>
        <v>0</v>
      </c>
      <c r="J27" s="557">
        <f>SUM(D27:H27)</f>
        <v>0</v>
      </c>
      <c r="K27" s="557">
        <f>[2]!SP1000P200F2100</f>
        <v>0</v>
      </c>
      <c r="L27" s="820"/>
      <c r="M27" s="68" t="s">
        <v>57</v>
      </c>
    </row>
    <row r="28" spans="1:25" ht="12" customHeight="1" x14ac:dyDescent="0.25">
      <c r="A28" s="91" t="s">
        <v>122</v>
      </c>
      <c r="C28" s="92" t="s">
        <v>59</v>
      </c>
      <c r="D28" s="553">
        <f>SUMIFS('Accounting data'!$G$2:$G$37000,'Accounting data'!$H$2:$H$37000,"1000*",'Accounting data'!$I$2:$I$37000,"200*",'Accounting data'!$J$2:$J$37000,"22*",'Accounting data'!$K$2:$K$37000,"61*")+SUMIFS('Accounting data'!$G$2:$G$37000,'Accounting data'!$H$2:$H$37000,"1500*",'Accounting data'!$I$2:$I$37000,"200*",'Accounting data'!$J$2:$J$37000,"22*",'Accounting data'!$K$2:$K$37000,"61*")+SUMIFS('Accounting data'!$G$2:$G$37000,'Accounting data'!$H$2:$H$37000,"1000*",'Accounting data'!$I$2:$I$37000,"270*",'Accounting data'!$J$2:$J$37000,"22*",'Accounting data'!$K$2:$K$37000,"61*")+SUMIFS('Accounting data'!$G$2:$G$37000,'Accounting data'!$H$2:$H$37000,"1500*",'Accounting data'!$I$2:$I$37000,"270*",'Accounting data'!$J$2:$J$37000,"22*",'Accounting data'!$K$2:$K$37000,"61*")</f>
        <v>0</v>
      </c>
      <c r="E28" s="553">
        <f>SUMIFS('Accounting data'!$G$2:$G$37000,'Accounting data'!$H$2:$H$37000,"1000*",'Accounting data'!$I$2:$I$37000,"200*",'Accounting data'!$J$2:$J$37000,"22*",'Accounting data'!$K$2:$K$37000,"62*")+SUMIFS('Accounting data'!$G$2:$G$37000,'Accounting data'!$H$2:$H$37000,"1500*",'Accounting data'!$I$2:$I$37000,"200*",'Accounting data'!$J$2:$J$37000,"22*",'Accounting data'!$K$2:$K$37000,"62*")+SUMIFS('Accounting data'!$G$2:$G$37000,'Accounting data'!$H$2:$H$37000,"1000*",'Accounting data'!$I$2:$I$37000,"270*",'Accounting data'!$J$2:$J$37000,"22*",'Accounting data'!$K$2:$K$37000,"62*")+SUMIFS('Accounting data'!$G$2:$G$37000,'Accounting data'!$H$2:$H$37000,"1500*",'Accounting data'!$I$2:$I$37000,"270*",'Accounting data'!$J$2:$J$37000,"22*",'Accounting data'!$K$2:$K$37000,"62*")</f>
        <v>0</v>
      </c>
      <c r="F28" s="553">
        <f>SUMIFS('Accounting data'!$G$2:$G$37000,'Accounting data'!$H$2:$H$37000,"1000*",'Accounting data'!$I$2:$I$37000,"200*",'Accounting data'!$J$2:$J$37000,"22*",'Accounting data'!$K$2:$K$37000,"63*")+SUMIFS('Accounting data'!$G$2:$G$37000,'Accounting data'!$H$2:$H$37000,"1500*",'Accounting data'!$I$2:$I$37000,"200*",'Accounting data'!$J$2:$J$37000,"22*",'Accounting data'!$K$2:$K$37000,"63*")+SUMIFS('Accounting data'!$G$2:$G$37000,'Accounting data'!$H$2:$H$37000,"1000*",'Accounting data'!$I$2:$I$37000,"270*",'Accounting data'!$J$2:$J$37000,"22*",'Accounting data'!$K$2:$K$37000,"63*")+SUMIFS('Accounting data'!$G$2:$G$37000,'Accounting data'!$H$2:$H$37000,"1500*",'Accounting data'!$I$2:$I$37000,"270*",'Accounting data'!$J$2:$J$37000,"22*",'Accounting data'!$K$2:$K$37000,"63*")</f>
        <v>0</v>
      </c>
      <c r="G28" s="553">
        <f>SUMIFS('Accounting data'!$G$2:$G$37000,'Accounting data'!$H$2:$H$37000,"1000*",'Accounting data'!$I$2:$I$37000,"200*",'Accounting data'!$J$2:$J$37000,"22*",'Accounting data'!$K$2:$K$37000,"66*")+SUMIFS('Accounting data'!$G$2:$G$37000,'Accounting data'!$H$2:$H$37000,"1500*",'Accounting data'!$I$2:$I$37000,"200*",'Accounting data'!$J$2:$J$37000,"22*",'Accounting data'!$K$2:$K$37000,"66*")+SUMIFS('Accounting data'!$G$2:$G$37000,'Accounting data'!$H$2:$H$37000,"1000*",'Accounting data'!$I$2:$I$37000,"270*",'Accounting data'!$J$2:$J$37000,"22*",'Accounting data'!$K$2:$K$37000,"66*")+SUMIFS('Accounting data'!$G$2:$G$37000,'Accounting data'!$H$2:$H$37000,"1500*",'Accounting data'!$I$2:$I$37000,"270*",'Accounting data'!$J$2:$J$37000,"22*",'Accounting data'!$K$2:$K$37000,"66*")</f>
        <v>0</v>
      </c>
      <c r="H28" s="553">
        <f>SUMIFS('Accounting data'!$G$2:$G$37000,'Accounting data'!$H$2:$H$37000,"1000*",'Accounting data'!$I$2:$I$37000,"200*",'Accounting data'!$J$2:$J$37000,"22*",'Accounting data'!$K$2:$K$37000,"68*")+SUMIFS('Accounting data'!$G$2:$G$37000,'Accounting data'!$H$2:$H$37000,"1500*",'Accounting data'!$I$2:$I$37000,"200*",'Accounting data'!$J$2:$J$37000,"22*",'Accounting data'!$K$2:$K$37000,"68*")+SUMIFS('Accounting data'!$G$2:$G$37000,'Accounting data'!$H$2:$H$37000,"1000*",'Accounting data'!$I$2:$I$37000,"270*",'Accounting data'!$J$2:$J$37000,"22*",'Accounting data'!$K$2:$K$37000,"68*")+SUMIFS('Accounting data'!$G$2:$G$37000,'Accounting data'!$H$2:$H$37000,"1500*",'Accounting data'!$I$2:$I$37000,"270*",'Accounting data'!$J$2:$J$37000,"22*",'Accounting data'!$K$2:$K$37000,"68*")</f>
        <v>0</v>
      </c>
      <c r="I28" s="552">
        <f>[1]!SP1000P200F2200</f>
        <v>0</v>
      </c>
      <c r="J28" s="554">
        <f t="shared" ref="J28:J36" si="3">SUM(D28:H28)</f>
        <v>0</v>
      </c>
      <c r="K28" s="552">
        <f>[2]!SP1000P200F2200</f>
        <v>0</v>
      </c>
      <c r="L28" s="555">
        <f t="shared" ref="L28:L48" si="4">IF(J28=K28,0,IF(K28&gt;0,(J28-K28)/K28,"--"))</f>
        <v>0</v>
      </c>
      <c r="M28" s="68" t="s">
        <v>59</v>
      </c>
    </row>
    <row r="29" spans="1:25" ht="12" customHeight="1" x14ac:dyDescent="0.25">
      <c r="A29" s="91" t="s">
        <v>123</v>
      </c>
      <c r="C29" s="92" t="s">
        <v>61</v>
      </c>
      <c r="D29" s="553">
        <f>SUMIFS('Accounting data'!$G$2:$G$37000,'Accounting data'!$H$2:$H$37000,"1000*",'Accounting data'!$I$2:$I$37000,"200*",'Accounting data'!$J$2:$J$37000,"23*",'Accounting data'!$K$2:$K$37000,"61*")+SUMIFS('Accounting data'!$G$2:$G$37000,'Accounting data'!$H$2:$H$37000,"1500*",'Accounting data'!$I$2:$I$37000,"200*",'Accounting data'!$J$2:$J$37000,"23*",'Accounting data'!$K$2:$K$37000,"61*")+SUMIFS('Accounting data'!$G$2:$G$37000,'Accounting data'!$H$2:$H$37000,"1000*",'Accounting data'!$I$2:$I$37000,"270*",'Accounting data'!$J$2:$J$37000,"23*",'Accounting data'!$K$2:$K$37000,"61*")+SUMIFS('Accounting data'!$G$2:$G$37000,'Accounting data'!$H$2:$H$37000,"1500*",'Accounting data'!$I$2:$I$37000,"270*",'Accounting data'!$J$2:$J$37000,"23*",'Accounting data'!$K$2:$K$37000,"61*")</f>
        <v>0</v>
      </c>
      <c r="E29" s="553">
        <f>SUMIFS('Accounting data'!$G$2:$G$37000,'Accounting data'!$H$2:$H$37000,"1000*",'Accounting data'!$I$2:$I$37000,"200*",'Accounting data'!$J$2:$J$37000,"23*",'Accounting data'!$K$2:$K$37000,"62*")+SUMIFS('Accounting data'!$G$2:$G$37000,'Accounting data'!$H$2:$H$37000,"1500*",'Accounting data'!$I$2:$I$37000,"200*",'Accounting data'!$J$2:$J$37000,"23*",'Accounting data'!$K$2:$K$37000,"62*")+SUMIFS('Accounting data'!$G$2:$G$37000,'Accounting data'!$H$2:$H$37000,"1000*",'Accounting data'!$I$2:$I$37000,"270*",'Accounting data'!$J$2:$J$37000,"23*",'Accounting data'!$K$2:$K$37000,"62*")+SUMIFS('Accounting data'!$G$2:$G$37000,'Accounting data'!$H$2:$H$37000,"1500*",'Accounting data'!$I$2:$I$37000,"270*",'Accounting data'!$J$2:$J$37000,"23*",'Accounting data'!$K$2:$K$37000,"62*")</f>
        <v>0</v>
      </c>
      <c r="F29" s="553">
        <f>SUMIFS('Accounting data'!$G$2:$G$37000,'Accounting data'!$H$2:$H$37000,"1000*",'Accounting data'!$I$2:$I$37000,"200*",'Accounting data'!$J$2:$J$37000,"23*",'Accounting data'!$K$2:$K$37000,"63*")+SUMIFS('Accounting data'!$G$2:$G$37000,'Accounting data'!$H$2:$H$37000,"1500*",'Accounting data'!$I$2:$I$37000,"200*",'Accounting data'!$J$2:$J$37000,"23*",'Accounting data'!$K$2:$K$37000,"63*")+SUMIFS('Accounting data'!$G$2:$G$37000,'Accounting data'!$H$2:$H$37000,"1000*",'Accounting data'!$I$2:$I$37000,"270*",'Accounting data'!$J$2:$J$37000,"23*",'Accounting data'!$K$2:$K$37000,"63*")+SUMIFS('Accounting data'!$G$2:$G$37000,'Accounting data'!$H$2:$H$37000,"1500*",'Accounting data'!$I$2:$I$37000,"270*",'Accounting data'!$J$2:$J$37000,"23*",'Accounting data'!$K$2:$K$37000,"63*")</f>
        <v>0</v>
      </c>
      <c r="G29" s="553">
        <f>SUMIFS('Accounting data'!$G$2:$G$37000,'Accounting data'!$H$2:$H$37000,"1000*",'Accounting data'!$I$2:$I$37000,"200*",'Accounting data'!$J$2:$J$37000,"23*",'Accounting data'!$K$2:$K$37000,"66*")+SUMIFS('Accounting data'!$G$2:$G$37000,'Accounting data'!$H$2:$H$37000,"1500*",'Accounting data'!$I$2:$I$37000,"200*",'Accounting data'!$J$2:$J$37000,"23*",'Accounting data'!$K$2:$K$37000,"66*")+SUMIFS('Accounting data'!$G$2:$G$37000,'Accounting data'!$H$2:$H$37000,"1000*",'Accounting data'!$I$2:$I$37000,"270*",'Accounting data'!$J$2:$J$37000,"23*",'Accounting data'!$K$2:$K$37000,"66*")+SUMIFS('Accounting data'!$G$2:$G$37000,'Accounting data'!$H$2:$H$37000,"1500*",'Accounting data'!$I$2:$I$37000,"270*",'Accounting data'!$J$2:$J$37000,"23*",'Accounting data'!$K$2:$K$37000,"66*")</f>
        <v>0</v>
      </c>
      <c r="H29" s="553">
        <f>SUMIFS('Accounting data'!$G$2:$G$37000,'Accounting data'!$H$2:$H$37000,"1000*",'Accounting data'!$I$2:$I$37000,"200*",'Accounting data'!$J$2:$J$37000,"23*",'Accounting data'!$K$2:$K$37000,"68*")+SUMIFS('Accounting data'!$G$2:$G$37000,'Accounting data'!$H$2:$H$37000,"1500*",'Accounting data'!$I$2:$I$37000,"200*",'Accounting data'!$J$2:$J$37000,"23*",'Accounting data'!$K$2:$K$37000,"68*")+SUMIFS('Accounting data'!$G$2:$G$37000,'Accounting data'!$H$2:$H$37000,"1000*",'Accounting data'!$I$2:$I$37000,"270*",'Accounting data'!$J$2:$J$37000,"23*",'Accounting data'!$K$2:$K$37000,"68*")+SUMIFS('Accounting data'!$G$2:$G$37000,'Accounting data'!$H$2:$H$37000,"1500*",'Accounting data'!$I$2:$I$37000,"270*",'Accounting data'!$J$2:$J$37000,"23*",'Accounting data'!$K$2:$K$37000,"68*")</f>
        <v>0</v>
      </c>
      <c r="I29" s="552">
        <f>[1]!SP1000P200F2300</f>
        <v>0</v>
      </c>
      <c r="J29" s="554">
        <f t="shared" si="3"/>
        <v>0</v>
      </c>
      <c r="K29" s="552">
        <f>[2]!SP1000P200F2300</f>
        <v>0</v>
      </c>
      <c r="L29" s="555">
        <f t="shared" si="4"/>
        <v>0</v>
      </c>
      <c r="M29" s="68" t="s">
        <v>61</v>
      </c>
    </row>
    <row r="30" spans="1:25" ht="12" customHeight="1" x14ac:dyDescent="0.25">
      <c r="A30" s="91" t="s">
        <v>124</v>
      </c>
      <c r="C30" s="92" t="s">
        <v>63</v>
      </c>
      <c r="D30" s="553">
        <f>SUMIFS('Accounting data'!$G$2:$G$37000,'Accounting data'!$H$2:$H$37000,"1000*",'Accounting data'!$I$2:$I$37000,"200*",'Accounting data'!$J$2:$J$37000,"24*",'Accounting data'!$K$2:$K$37000,"61*")+SUMIFS('Accounting data'!$G$2:$G$37000,'Accounting data'!$H$2:$H$37000,"1500*",'Accounting data'!$I$2:$I$37000,"200*",'Accounting data'!$J$2:$J$37000,"24*",'Accounting data'!$K$2:$K$37000,"61*")+SUMIFS('Accounting data'!$G$2:$G$37000,'Accounting data'!$H$2:$H$37000,"1000*",'Accounting data'!$I$2:$I$37000,"270*",'Accounting data'!$J$2:$J$37000,"24*",'Accounting data'!$K$2:$K$37000,"61*")+SUMIFS('Accounting data'!$G$2:$G$37000,'Accounting data'!$H$2:$H$37000,"1500*",'Accounting data'!$I$2:$I$37000,"270*",'Accounting data'!$J$2:$J$37000,"24*",'Accounting data'!$K$2:$K$37000,"61*")</f>
        <v>0</v>
      </c>
      <c r="E30" s="553">
        <f>SUMIFS('Accounting data'!$G$2:$G$37000,'Accounting data'!$H$2:$H$37000,"1000*",'Accounting data'!$I$2:$I$37000,"200*",'Accounting data'!$J$2:$J$37000,"24*",'Accounting data'!$K$2:$K$37000,"62*")+SUMIFS('Accounting data'!$G$2:$G$37000,'Accounting data'!$H$2:$H$37000,"1500*",'Accounting data'!$I$2:$I$37000,"200*",'Accounting data'!$J$2:$J$37000,"24*",'Accounting data'!$K$2:$K$37000,"62*")+SUMIFS('Accounting data'!$G$2:$G$37000,'Accounting data'!$H$2:$H$37000,"1000*",'Accounting data'!$I$2:$I$37000,"270*",'Accounting data'!$J$2:$J$37000,"24*",'Accounting data'!$K$2:$K$37000,"62*")+SUMIFS('Accounting data'!$G$2:$G$37000,'Accounting data'!$H$2:$H$37000,"1500*",'Accounting data'!$I$2:$I$37000,"270*",'Accounting data'!$J$2:$J$37000,"24*",'Accounting data'!$K$2:$K$37000,"62*")</f>
        <v>0</v>
      </c>
      <c r="F30" s="553">
        <f>SUMIFS('Accounting data'!$G$2:$G$37000,'Accounting data'!$H$2:$H$37000,"1000*",'Accounting data'!$I$2:$I$37000,"200*",'Accounting data'!$J$2:$J$37000,"24*",'Accounting data'!$K$2:$K$37000,"63*")+SUMIFS('Accounting data'!$G$2:$G$37000,'Accounting data'!$H$2:$H$37000,"1500*",'Accounting data'!$I$2:$I$37000,"200*",'Accounting data'!$J$2:$J$37000,"24*",'Accounting data'!$K$2:$K$37000,"63*")+SUMIFS('Accounting data'!$G$2:$G$37000,'Accounting data'!$H$2:$H$37000,"1000*",'Accounting data'!$I$2:$I$37000,"270*",'Accounting data'!$J$2:$J$37000,"24*",'Accounting data'!$K$2:$K$37000,"63*")+SUMIFS('Accounting data'!$G$2:$G$37000,'Accounting data'!$H$2:$H$37000,"1500*",'Accounting data'!$I$2:$I$37000,"270*",'Accounting data'!$J$2:$J$37000,"24*",'Accounting data'!$K$2:$K$37000,"63*")</f>
        <v>0</v>
      </c>
      <c r="G30" s="553">
        <f>SUMIFS('Accounting data'!$G$2:$G$37000,'Accounting data'!$H$2:$H$37000,"1000*",'Accounting data'!$I$2:$I$37000,"200*",'Accounting data'!$J$2:$J$37000,"24*",'Accounting data'!$K$2:$K$37000,"66*")+SUMIFS('Accounting data'!$G$2:$G$37000,'Accounting data'!$H$2:$H$37000,"1500*",'Accounting data'!$I$2:$I$37000,"200*",'Accounting data'!$J$2:$J$37000,"24*",'Accounting data'!$K$2:$K$37000,"66*")+SUMIFS('Accounting data'!$G$2:$G$37000,'Accounting data'!$H$2:$H$37000,"1000*",'Accounting data'!$I$2:$I$37000,"270*",'Accounting data'!$J$2:$J$37000,"24*",'Accounting data'!$K$2:$K$37000,"66*")+SUMIFS('Accounting data'!$G$2:$G$37000,'Accounting data'!$H$2:$H$37000,"1500*",'Accounting data'!$I$2:$I$37000,"270*",'Accounting data'!$J$2:$J$37000,"24*",'Accounting data'!$K$2:$K$37000,"66*")</f>
        <v>0</v>
      </c>
      <c r="H30" s="553">
        <f>SUMIFS('Accounting data'!$G$2:$G$37000,'Accounting data'!$H$2:$H$37000,"1000*",'Accounting data'!$I$2:$I$37000,"200*",'Accounting data'!$J$2:$J$37000,"24*",'Accounting data'!$K$2:$K$37000,"68*")+SUMIFS('Accounting data'!$G$2:$G$37000,'Accounting data'!$H$2:$H$37000,"1500*",'Accounting data'!$I$2:$I$37000,"200*",'Accounting data'!$J$2:$J$37000,"24*",'Accounting data'!$K$2:$K$37000,"68*")+SUMIFS('Accounting data'!$G$2:$G$37000,'Accounting data'!$H$2:$H$37000,"1000*",'Accounting data'!$I$2:$I$37000,"270*",'Accounting data'!$J$2:$J$37000,"24*",'Accounting data'!$K$2:$K$37000,"68*")+SUMIFS('Accounting data'!$G$2:$G$37000,'Accounting data'!$H$2:$H$37000,"1500*",'Accounting data'!$I$2:$I$37000,"270*",'Accounting data'!$J$2:$J$37000,"24*",'Accounting data'!$K$2:$K$37000,"68*")</f>
        <v>0</v>
      </c>
      <c r="I30" s="552">
        <f>[1]!SP1000P200F2400</f>
        <v>0</v>
      </c>
      <c r="J30" s="554">
        <f t="shared" si="3"/>
        <v>0</v>
      </c>
      <c r="K30" s="552">
        <f>[2]!SP1000P200F2400</f>
        <v>0</v>
      </c>
      <c r="L30" s="555">
        <f t="shared" si="4"/>
        <v>0</v>
      </c>
      <c r="M30" s="68" t="s">
        <v>63</v>
      </c>
    </row>
    <row r="31" spans="1:25" ht="12" customHeight="1" x14ac:dyDescent="0.25">
      <c r="A31" s="91" t="s">
        <v>125</v>
      </c>
      <c r="C31" s="92" t="s">
        <v>65</v>
      </c>
      <c r="D31" s="553">
        <f>SUMIFS('Accounting data'!$G$2:$G$37000,'Accounting data'!$H$2:$H$37000,"1000*",'Accounting data'!$I$2:$I$37000,"200*",'Accounting data'!$J$2:$J$37000,"25*",'Accounting data'!$K$2:$K$37000,"61*")+SUMIFS('Accounting data'!$G$2:$G$37000,'Accounting data'!$H$2:$H$37000,"1500*",'Accounting data'!$I$2:$I$37000,"200*",'Accounting data'!$J$2:$J$37000,"25*",'Accounting data'!$K$2:$K$37000,"61*")+SUMIFS('Accounting data'!$G$2:$G$37000,'Accounting data'!$H$2:$H$37000,"1000*",'Accounting data'!$I$2:$I$37000,"270*",'Accounting data'!$J$2:$J$37000,"25*",'Accounting data'!$K$2:$K$37000,"61*")+SUMIFS('Accounting data'!$G$2:$G$37000,'Accounting data'!$H$2:$H$37000,"1500*",'Accounting data'!$I$2:$I$37000,"270*",'Accounting data'!$J$2:$J$37000,"25*",'Accounting data'!$K$2:$K$37000,"61*")</f>
        <v>0</v>
      </c>
      <c r="E31" s="553">
        <f>SUMIFS('Accounting data'!$G$2:$G$37000,'Accounting data'!$H$2:$H$37000,"1000*",'Accounting data'!$I$2:$I$37000,"200*",'Accounting data'!$J$2:$J$37000,"25*",'Accounting data'!$K$2:$K$37000,"62*")+SUMIFS('Accounting data'!$G$2:$G$37000,'Accounting data'!$H$2:$H$37000,"1500*",'Accounting data'!$I$2:$I$37000,"200*",'Accounting data'!$J$2:$J$37000,"25*",'Accounting data'!$K$2:$K$37000,"62*")+SUMIFS('Accounting data'!$G$2:$G$37000,'Accounting data'!$H$2:$H$37000,"1000*",'Accounting data'!$I$2:$I$37000,"270*",'Accounting data'!$J$2:$J$37000,"25*",'Accounting data'!$K$2:$K$37000,"62*")+SUMIFS('Accounting data'!$G$2:$G$37000,'Accounting data'!$H$2:$H$37000,"1500*",'Accounting data'!$I$2:$I$37000,"270*",'Accounting data'!$J$2:$J$37000,"25*",'Accounting data'!$K$2:$K$37000,"62*")</f>
        <v>0</v>
      </c>
      <c r="F31" s="553">
        <f>SUMIFS('Accounting data'!$G$2:$G$37000,'Accounting data'!$H$2:$H$37000,"1000*",'Accounting data'!$I$2:$I$37000,"200*",'Accounting data'!$J$2:$J$37000,"25*",'Accounting data'!$K$2:$K$37000,"63*")+SUMIFS('Accounting data'!$G$2:$G$37000,'Accounting data'!$H$2:$H$37000,"1500*",'Accounting data'!$I$2:$I$37000,"200*",'Accounting data'!$J$2:$J$37000,"25*",'Accounting data'!$K$2:$K$37000,"63*")+SUMIFS('Accounting data'!$G$2:$G$37000,'Accounting data'!$H$2:$H$37000,"1000*",'Accounting data'!$I$2:$I$37000,"270*",'Accounting data'!$J$2:$J$37000,"25*",'Accounting data'!$K$2:$K$37000,"63*")+SUMIFS('Accounting data'!$G$2:$G$37000,'Accounting data'!$H$2:$H$37000,"1500*",'Accounting data'!$I$2:$I$37000,"270*",'Accounting data'!$J$2:$J$37000,"25*",'Accounting data'!$K$2:$K$37000,"63*")</f>
        <v>0</v>
      </c>
      <c r="G31" s="553">
        <f>SUMIFS('Accounting data'!$G$2:$G$37000,'Accounting data'!$H$2:$H$37000,"1000*",'Accounting data'!$I$2:$I$37000,"200*",'Accounting data'!$J$2:$J$37000,"25*",'Accounting data'!$K$2:$K$37000,"66*")+SUMIFS('Accounting data'!$G$2:$G$37000,'Accounting data'!$H$2:$H$37000,"1500*",'Accounting data'!$I$2:$I$37000,"200*",'Accounting data'!$J$2:$J$37000,"25*",'Accounting data'!$K$2:$K$37000,"66*")+SUMIFS('Accounting data'!$G$2:$G$37000,'Accounting data'!$H$2:$H$37000,"1000*",'Accounting data'!$I$2:$I$37000,"270*",'Accounting data'!$J$2:$J$37000,"25*",'Accounting data'!$K$2:$K$37000,"66*")+SUMIFS('Accounting data'!$G$2:$G$37000,'Accounting data'!$H$2:$H$37000,"1500*",'Accounting data'!$I$2:$I$37000,"270*",'Accounting data'!$J$2:$J$37000,"25*",'Accounting data'!$K$2:$K$37000,"66*")</f>
        <v>0</v>
      </c>
      <c r="H31" s="553">
        <f>SUMIFS('Accounting data'!$G$2:$G$37000,'Accounting data'!$H$2:$H$37000,"1000*",'Accounting data'!$I$2:$I$37000,"200*",'Accounting data'!$J$2:$J$37000,"25*",'Accounting data'!$K$2:$K$37000,"68*")+SUMIFS('Accounting data'!$G$2:$G$37000,'Accounting data'!$H$2:$H$37000,"1500*",'Accounting data'!$I$2:$I$37000,"200*",'Accounting data'!$J$2:$J$37000,"25*",'Accounting data'!$K$2:$K$37000,"68*")+SUMIFS('Accounting data'!$G$2:$G$37000,'Accounting data'!$H$2:$H$37000,"1000*",'Accounting data'!$I$2:$I$37000,"270*",'Accounting data'!$J$2:$J$37000,"25*",'Accounting data'!$K$2:$K$37000,"68*")+SUMIFS('Accounting data'!$G$2:$G$37000,'Accounting data'!$H$2:$H$37000,"1500*",'Accounting data'!$I$2:$I$37000,"270*",'Accounting data'!$J$2:$J$37000,"25*",'Accounting data'!$K$2:$K$37000,"68*")</f>
        <v>0</v>
      </c>
      <c r="I31" s="552">
        <f>[1]!SP1000P200F2500</f>
        <v>0</v>
      </c>
      <c r="J31" s="554">
        <f t="shared" si="3"/>
        <v>0</v>
      </c>
      <c r="K31" s="552">
        <f>[2]!SP1000P200F2500</f>
        <v>0</v>
      </c>
      <c r="L31" s="555">
        <f t="shared" si="4"/>
        <v>0</v>
      </c>
      <c r="M31" s="68" t="s">
        <v>65</v>
      </c>
    </row>
    <row r="32" spans="1:25" ht="12" customHeight="1" x14ac:dyDescent="0.25">
      <c r="A32" s="91" t="s">
        <v>126</v>
      </c>
      <c r="C32" s="92" t="s">
        <v>67</v>
      </c>
      <c r="D32" s="553">
        <f>SUMIFS('Accounting data'!$G$2:$G$37000,'Accounting data'!$H$2:$H$37000,"1000*",'Accounting data'!$I$2:$I$37000,"200*",'Accounting data'!$J$2:$J$37000,"26*",'Accounting data'!$K$2:$K$37000,"61*")+SUMIFS('Accounting data'!$G$2:$G$37000,'Accounting data'!$H$2:$H$37000,"1500*",'Accounting data'!$I$2:$I$37000,"200*",'Accounting data'!$J$2:$J$37000,"26*",'Accounting data'!$K$2:$K$37000,"61*")+SUMIFS('Accounting data'!$G$2:$G$37000,'Accounting data'!$H$2:$H$37000,"1000*",'Accounting data'!$I$2:$I$37000,"270*",'Accounting data'!$J$2:$J$37000,"26*",'Accounting data'!$K$2:$K$37000,"61*")+SUMIFS('Accounting data'!$G$2:$G$37000,'Accounting data'!$H$2:$H$37000,"1500*",'Accounting data'!$I$2:$I$37000,"270*",'Accounting data'!$J$2:$J$37000,"26*",'Accounting data'!$K$2:$K$37000,"61*")</f>
        <v>0</v>
      </c>
      <c r="E32" s="553">
        <f>SUMIFS('Accounting data'!$G$2:$G$37000,'Accounting data'!$H$2:$H$37000,"1000*",'Accounting data'!$I$2:$I$37000,"200*",'Accounting data'!$J$2:$J$37000,"26*",'Accounting data'!$K$2:$K$37000,"62*")+SUMIFS('Accounting data'!$G$2:$G$37000,'Accounting data'!$H$2:$H$37000,"1500*",'Accounting data'!$I$2:$I$37000,"200*",'Accounting data'!$J$2:$J$37000,"26*",'Accounting data'!$K$2:$K$37000,"62*")+SUMIFS('Accounting data'!$G$2:$G$37000,'Accounting data'!$H$2:$H$37000,"1000*",'Accounting data'!$I$2:$I$37000,"270*",'Accounting data'!$J$2:$J$37000,"26*",'Accounting data'!$K$2:$K$37000,"62*")+SUMIFS('Accounting data'!$G$2:$G$37000,'Accounting data'!$H$2:$H$37000,"1500*",'Accounting data'!$I$2:$I$37000,"270*",'Accounting data'!$J$2:$J$37000,"26*",'Accounting data'!$K$2:$K$37000,"62*")</f>
        <v>0</v>
      </c>
      <c r="F32" s="553">
        <f>SUMIFS('Accounting data'!$G$2:$G$37000,'Accounting data'!$H$2:$H$37000,"1000*",'Accounting data'!$I$2:$I$37000,"200*",'Accounting data'!$J$2:$J$37000,"26*",'Accounting data'!$K$2:$K$37000,"63*")+SUMIFS('Accounting data'!$G$2:$G$37000,'Accounting data'!$H$2:$H$37000,"1500*",'Accounting data'!$I$2:$I$37000,"200*",'Accounting data'!$J$2:$J$37000,"26*",'Accounting data'!$K$2:$K$37000,"63*")+SUMIFS('Accounting data'!$G$2:$G$37000,'Accounting data'!$H$2:$H$37000,"1000*",'Accounting data'!$I$2:$I$37000,"270*",'Accounting data'!$J$2:$J$37000,"26*",'Accounting data'!$K$2:$K$37000,"63*")+SUMIFS('Accounting data'!$G$2:$G$37000,'Accounting data'!$H$2:$H$37000,"1500*",'Accounting data'!$I$2:$I$37000,"270*",'Accounting data'!$J$2:$J$37000,"26*",'Accounting data'!$K$2:$K$37000,"63*")</f>
        <v>0</v>
      </c>
      <c r="G32" s="553">
        <f>SUMIFS('Accounting data'!$G$2:$G$37000,'Accounting data'!$H$2:$H$37000,"1000*",'Accounting data'!$I$2:$I$37000,"200*",'Accounting data'!$J$2:$J$37000,"26*",'Accounting data'!$K$2:$K$37000,"66*")+SUMIFS('Accounting data'!$G$2:$G$37000,'Accounting data'!$H$2:$H$37000,"1500*",'Accounting data'!$I$2:$I$37000,"200*",'Accounting data'!$J$2:$J$37000,"26*",'Accounting data'!$K$2:$K$37000,"66*")+SUMIFS('Accounting data'!$G$2:$G$37000,'Accounting data'!$H$2:$H$37000,"1000*",'Accounting data'!$I$2:$I$37000,"270*",'Accounting data'!$J$2:$J$37000,"26*",'Accounting data'!$K$2:$K$37000,"66*")+SUMIFS('Accounting data'!$G$2:$G$37000,'Accounting data'!$H$2:$H$37000,"1500*",'Accounting data'!$I$2:$I$37000,"270*",'Accounting data'!$J$2:$J$37000,"26*",'Accounting data'!$K$2:$K$37000,"66*")</f>
        <v>0</v>
      </c>
      <c r="H32" s="553">
        <f>SUMIFS('Accounting data'!$G$2:$G$37000,'Accounting data'!$H$2:$H$37000,"1000*",'Accounting data'!$I$2:$I$37000,"200*",'Accounting data'!$J$2:$J$37000,"26*",'Accounting data'!$K$2:$K$37000,"68*")+SUMIFS('Accounting data'!$G$2:$G$37000,'Accounting data'!$H$2:$H$37000,"1500*",'Accounting data'!$I$2:$I$37000,"200*",'Accounting data'!$J$2:$J$37000,"26*",'Accounting data'!$K$2:$K$37000,"68*")+SUMIFS('Accounting data'!$G$2:$G$37000,'Accounting data'!$H$2:$H$37000,"1000*",'Accounting data'!$I$2:$I$37000,"270*",'Accounting data'!$J$2:$J$37000,"26*",'Accounting data'!$K$2:$K$37000,"68*")+SUMIFS('Accounting data'!$G$2:$G$37000,'Accounting data'!$H$2:$H$37000,"1500*",'Accounting data'!$I$2:$I$37000,"270*",'Accounting data'!$J$2:$J$37000,"26*",'Accounting data'!$K$2:$K$37000,"68*")</f>
        <v>0</v>
      </c>
      <c r="I32" s="552">
        <f>[1]!SP1000P200F2600</f>
        <v>0</v>
      </c>
      <c r="J32" s="554">
        <f t="shared" si="3"/>
        <v>0</v>
      </c>
      <c r="K32" s="552">
        <f>[2]!SP1000P200F2600</f>
        <v>0</v>
      </c>
      <c r="L32" s="555">
        <f t="shared" si="4"/>
        <v>0</v>
      </c>
      <c r="M32" s="68" t="s">
        <v>67</v>
      </c>
    </row>
    <row r="33" spans="1:13" ht="12" customHeight="1" x14ac:dyDescent="0.25">
      <c r="A33" s="91" t="s">
        <v>127</v>
      </c>
      <c r="C33" s="92" t="s">
        <v>69</v>
      </c>
      <c r="D33" s="553">
        <f>SUMIFS('Accounting data'!$G$2:$G$37000,'Accounting data'!$H$2:$H$37000,"1000*",'Accounting data'!$I$2:$I$37000,"200*",'Accounting data'!$J$2:$J$37000,"29*",'Accounting data'!$K$2:$K$37000,"61*")+SUMIFS('Accounting data'!$G$2:$G$37000,'Accounting data'!$H$2:$H$37000,"1500*",'Accounting data'!$I$2:$I$37000,"200*",'Accounting data'!$J$2:$J$37000,"29*",'Accounting data'!$K$2:$K$37000,"61*")+SUMIFS('Accounting data'!$G$2:$G$37000,'Accounting data'!$H$2:$H$37000,"1000*",'Accounting data'!$I$2:$I$37000,"270*",'Accounting data'!$J$2:$J$37000,"29*",'Accounting data'!$K$2:$K$37000,"61*")+SUMIFS('Accounting data'!$G$2:$G$37000,'Accounting data'!$H$2:$H$37000,"1500*",'Accounting data'!$I$2:$I$37000,"270*",'Accounting data'!$J$2:$J$37000,"29*",'Accounting data'!$K$2:$K$37000,"61*")</f>
        <v>0</v>
      </c>
      <c r="E33" s="553">
        <f>SUMIFS('Accounting data'!$G$2:$G$37000,'Accounting data'!$H$2:$H$37000,"1000*",'Accounting data'!$I$2:$I$37000,"200*",'Accounting data'!$J$2:$J$37000,"29*",'Accounting data'!$K$2:$K$37000,"62*")+SUMIFS('Accounting data'!$G$2:$G$37000,'Accounting data'!$H$2:$H$37000,"1500*",'Accounting data'!$I$2:$I$37000,"200*",'Accounting data'!$J$2:$J$37000,"29*",'Accounting data'!$K$2:$K$37000,"62*")+SUMIFS('Accounting data'!$G$2:$G$37000,'Accounting data'!$H$2:$H$37000,"1000*",'Accounting data'!$I$2:$I$37000,"270*",'Accounting data'!$J$2:$J$37000,"29*",'Accounting data'!$K$2:$K$37000,"62*")+SUMIFS('Accounting data'!$G$2:$G$37000,'Accounting data'!$H$2:$H$37000,"1500*",'Accounting data'!$I$2:$I$37000,"270*",'Accounting data'!$J$2:$J$37000,"29*",'Accounting data'!$K$2:$K$37000,"62*")</f>
        <v>0</v>
      </c>
      <c r="F33" s="553">
        <f>SUMIFS('Accounting data'!$G$2:$G$37000,'Accounting data'!$H$2:$H$37000,"1000*",'Accounting data'!$I$2:$I$37000,"200*",'Accounting data'!$J$2:$J$37000,"29*",'Accounting data'!$K$2:$K$37000,"63*")+SUMIFS('Accounting data'!$G$2:$G$37000,'Accounting data'!$H$2:$H$37000,"1500*",'Accounting data'!$I$2:$I$37000,"200*",'Accounting data'!$J$2:$J$37000,"29*",'Accounting data'!$K$2:$K$37000,"63*")+SUMIFS('Accounting data'!$G$2:$G$37000,'Accounting data'!$H$2:$H$37000,"1000*",'Accounting data'!$I$2:$I$37000,"270*",'Accounting data'!$J$2:$J$37000,"29*",'Accounting data'!$K$2:$K$37000,"63*")+SUMIFS('Accounting data'!$G$2:$G$37000,'Accounting data'!$H$2:$H$37000,"1500*",'Accounting data'!$I$2:$I$37000,"270*",'Accounting data'!$J$2:$J$37000,"29*",'Accounting data'!$K$2:$K$37000,"63*")</f>
        <v>0</v>
      </c>
      <c r="G33" s="553">
        <f>SUMIFS('Accounting data'!$G$2:$G$37000,'Accounting data'!$H$2:$H$37000,"1000*",'Accounting data'!$I$2:$I$37000,"200*",'Accounting data'!$J$2:$J$37000,"29*",'Accounting data'!$K$2:$K$37000,"66*")+SUMIFS('Accounting data'!$G$2:$G$37000,'Accounting data'!$H$2:$H$37000,"1500*",'Accounting data'!$I$2:$I$37000,"200*",'Accounting data'!$J$2:$J$37000,"29*",'Accounting data'!$K$2:$K$37000,"66*")+SUMIFS('Accounting data'!$G$2:$G$37000,'Accounting data'!$H$2:$H$37000,"1000*",'Accounting data'!$I$2:$I$37000,"270*",'Accounting data'!$J$2:$J$37000,"29*",'Accounting data'!$K$2:$K$37000,"66*")+SUMIFS('Accounting data'!$G$2:$G$37000,'Accounting data'!$H$2:$H$37000,"1500*",'Accounting data'!$I$2:$I$37000,"270*",'Accounting data'!$J$2:$J$37000,"29*",'Accounting data'!$K$2:$K$37000,"66*")</f>
        <v>0</v>
      </c>
      <c r="H33" s="553">
        <f>SUMIFS('Accounting data'!$G$2:$G$37000,'Accounting data'!$H$2:$H$37000,"1000*",'Accounting data'!$I$2:$I$37000,"200*",'Accounting data'!$J$2:$J$37000,"29*",'Accounting data'!$K$2:$K$37000,"68*")+SUMIFS('Accounting data'!$G$2:$G$37000,'Accounting data'!$H$2:$H$37000,"1500*",'Accounting data'!$I$2:$I$37000,"200*",'Accounting data'!$J$2:$J$37000,"29*",'Accounting data'!$K$2:$K$37000,"68*")+SUMIFS('Accounting data'!$G$2:$G$37000,'Accounting data'!$H$2:$H$37000,"1000*",'Accounting data'!$I$2:$I$37000,"270*",'Accounting data'!$J$2:$J$37000,"29*",'Accounting data'!$K$2:$K$37000,"68*")+SUMIFS('Accounting data'!$G$2:$G$37000,'Accounting data'!$H$2:$H$37000,"1500*",'Accounting data'!$I$2:$I$37000,"270*",'Accounting data'!$J$2:$J$37000,"29*",'Accounting data'!$K$2:$K$37000,"68*")</f>
        <v>0</v>
      </c>
      <c r="I33" s="552">
        <f>[1]!SP1000P200F2900</f>
        <v>0</v>
      </c>
      <c r="J33" s="554">
        <f t="shared" si="3"/>
        <v>0</v>
      </c>
      <c r="K33" s="552">
        <f>[2]!SP1000P200F2900</f>
        <v>0</v>
      </c>
      <c r="L33" s="555">
        <f t="shared" si="4"/>
        <v>0</v>
      </c>
      <c r="M33" s="68" t="s">
        <v>69</v>
      </c>
    </row>
    <row r="34" spans="1:13" ht="12" customHeight="1" x14ac:dyDescent="0.25">
      <c r="A34" s="91" t="s">
        <v>128</v>
      </c>
      <c r="C34" s="92" t="s">
        <v>71</v>
      </c>
      <c r="D34" s="553">
        <f>SUMIFS('Accounting data'!$G$2:$G$37000,'Accounting data'!$H$2:$H$37000,"1000*",'Accounting data'!$I$2:$I$37000,"200*",'Accounting data'!$J$2:$J$37000,"3*",'Accounting data'!$K$2:$K$37000,"61*")+SUMIFS('Accounting data'!$G$2:$G$37000,'Accounting data'!$H$2:$H$37000,"1500*",'Accounting data'!$I$2:$I$37000,"200*",'Accounting data'!$J$2:$J$37000,"3*",'Accounting data'!$K$2:$K$37000,"61*")+SUMIFS('Accounting data'!$G$2:$G$37000,'Accounting data'!$H$2:$H$37000,"1000*",'Accounting data'!$I$2:$I$37000,"270*",'Accounting data'!$J$2:$J$37000,"3*",'Accounting data'!$K$2:$K$37000,"61*")+SUMIFS('Accounting data'!$G$2:$G$37000,'Accounting data'!$H$2:$H$37000,"1500*",'Accounting data'!$I$2:$I$37000,"270*",'Accounting data'!$J$2:$J$37000,"3*",'Accounting data'!$K$2:$K$37000,"61*")</f>
        <v>0</v>
      </c>
      <c r="E34" s="553">
        <f>SUMIFS('Accounting data'!$G$2:$G$37000,'Accounting data'!$H$2:$H$37000,"1000*",'Accounting data'!$I$2:$I$37000,"200*",'Accounting data'!$J$2:$J$37000,"3*",'Accounting data'!$K$2:$K$37000,"62*")+SUMIFS('Accounting data'!$G$2:$G$37000,'Accounting data'!$H$2:$H$37000,"1500*",'Accounting data'!$I$2:$I$37000,"200*",'Accounting data'!$J$2:$J$37000,"3*",'Accounting data'!$K$2:$K$37000,"62*")+SUMIFS('Accounting data'!$G$2:$G$37000,'Accounting data'!$H$2:$H$37000,"1000*",'Accounting data'!$I$2:$I$37000,"270*",'Accounting data'!$J$2:$J$37000,"3*",'Accounting data'!$K$2:$K$37000,"62*")+SUMIFS('Accounting data'!$G$2:$G$37000,'Accounting data'!$H$2:$H$37000,"1500*",'Accounting data'!$I$2:$I$37000,"270*",'Accounting data'!$J$2:$J$37000,"3*",'Accounting data'!$K$2:$K$37000,"62*")</f>
        <v>0</v>
      </c>
      <c r="F34" s="553">
        <f>SUMIFS('Accounting data'!$G$2:$G$37000,'Accounting data'!$H$2:$H$37000,"1000*",'Accounting data'!$I$2:$I$37000,"200*",'Accounting data'!$J$2:$J$37000,"3*",'Accounting data'!$K$2:$K$37000,"63*")+SUMIFS('Accounting data'!$G$2:$G$37000,'Accounting data'!$H$2:$H$37000,"1500*",'Accounting data'!$I$2:$I$37000,"200*",'Accounting data'!$J$2:$J$37000,"3*",'Accounting data'!$K$2:$K$37000,"63*")+SUMIFS('Accounting data'!$G$2:$G$37000,'Accounting data'!$H$2:$H$37000,"1000*",'Accounting data'!$I$2:$I$37000,"270*",'Accounting data'!$J$2:$J$37000,"3*",'Accounting data'!$K$2:$K$37000,"63*")+SUMIFS('Accounting data'!$G$2:$G$37000,'Accounting data'!$H$2:$H$37000,"1500*",'Accounting data'!$I$2:$I$37000,"270*",'Accounting data'!$J$2:$J$37000,"3*",'Accounting data'!$K$2:$K$37000,"63*")</f>
        <v>0</v>
      </c>
      <c r="G34" s="553">
        <f>SUMIFS('Accounting data'!$G$2:$G$37000,'Accounting data'!$H$2:$H$37000,"1000*",'Accounting data'!$I$2:$I$37000,"200*",'Accounting data'!$J$2:$J$37000,"3*",'Accounting data'!$K$2:$K$37000,"66*")+SUMIFS('Accounting data'!$G$2:$G$37000,'Accounting data'!$H$2:$H$37000,"1500*",'Accounting data'!$I$2:$I$37000,"200*",'Accounting data'!$J$2:$J$37000,"3*",'Accounting data'!$K$2:$K$37000,"66*")+SUMIFS('Accounting data'!$G$2:$G$37000,'Accounting data'!$H$2:$H$37000,"1000*",'Accounting data'!$I$2:$I$37000,"270*",'Accounting data'!$J$2:$J$37000,"3*",'Accounting data'!$K$2:$K$37000,"66*")+SUMIFS('Accounting data'!$G$2:$G$37000,'Accounting data'!$H$2:$H$37000,"1500*",'Accounting data'!$I$2:$I$37000,"270*",'Accounting data'!$J$2:$J$37000,"3*",'Accounting data'!$K$2:$K$37000,"66*")</f>
        <v>0</v>
      </c>
      <c r="H34" s="553">
        <f>SUMIFS('Accounting data'!$G$2:$G$37000,'Accounting data'!$H$2:$H$37000,"1000*",'Accounting data'!$I$2:$I$37000,"200*",'Accounting data'!$J$2:$J$37000,"3*",'Accounting data'!$K$2:$K$37000,"68*")+SUMIFS('Accounting data'!$G$2:$G$37000,'Accounting data'!$H$2:$H$37000,"1500*",'Accounting data'!$I$2:$I$37000,"200*",'Accounting data'!$J$2:$J$37000,"3*",'Accounting data'!$K$2:$K$37000,"68*")+SUMIFS('Accounting data'!$G$2:$G$37000,'Accounting data'!$H$2:$H$37000,"1000*",'Accounting data'!$I$2:$I$37000,"270*",'Accounting data'!$J$2:$J$37000,"3*",'Accounting data'!$K$2:$K$37000,"68*")+SUMIFS('Accounting data'!$G$2:$G$37000,'Accounting data'!$H$2:$H$37000,"1500*",'Accounting data'!$I$2:$I$37000,"270*",'Accounting data'!$J$2:$J$37000,"3*",'Accounting data'!$K$2:$K$37000,"68*")</f>
        <v>0</v>
      </c>
      <c r="I34" s="552">
        <f>[1]!SP1000P200F3000</f>
        <v>0</v>
      </c>
      <c r="J34" s="554">
        <f t="shared" si="3"/>
        <v>0</v>
      </c>
      <c r="K34" s="552">
        <f>[2]!SP1000P200F3000</f>
        <v>0</v>
      </c>
      <c r="L34" s="555">
        <f t="shared" si="4"/>
        <v>0</v>
      </c>
      <c r="M34" s="68" t="s">
        <v>71</v>
      </c>
    </row>
    <row r="35" spans="1:13" ht="12" customHeight="1" x14ac:dyDescent="0.25">
      <c r="A35" s="91" t="s">
        <v>129</v>
      </c>
      <c r="C35" s="92" t="s">
        <v>73</v>
      </c>
      <c r="D35" s="553">
        <f>SUMIFS('Accounting data'!$G$2:$G$37000,'Accounting data'!$H$2:$H$37000,"1000*",'Accounting data'!$I$2:$I$37000,"200*",'Accounting data'!$J$2:$J$37000,"4*",'Accounting data'!$K$2:$K$37000,"61*")+SUMIFS('Accounting data'!$G$2:$G$37000,'Accounting data'!$H$2:$H$37000,"1500*",'Accounting data'!$I$2:$I$37000,"200*",'Accounting data'!$J$2:$J$37000,"4*",'Accounting data'!$K$2:$K$37000,"61*")+SUMIFS('Accounting data'!$G$2:$G$37000,'Accounting data'!$H$2:$H$37000,"1000*",'Accounting data'!$I$2:$I$37000,"270*",'Accounting data'!$J$2:$J$37000,"4*",'Accounting data'!$K$2:$K$37000,"61*")+SUMIFS('Accounting data'!$G$2:$G$37000,'Accounting data'!$H$2:$H$37000,"1500*",'Accounting data'!$I$2:$I$37000,"270*",'Accounting data'!$J$2:$J$37000,"4*",'Accounting data'!$K$2:$K$37000,"61*")</f>
        <v>0</v>
      </c>
      <c r="E35" s="553">
        <f>SUMIFS('Accounting data'!$G$2:$G$37000,'Accounting data'!$H$2:$H$37000,"1000*",'Accounting data'!$I$2:$I$37000,"200*",'Accounting data'!$J$2:$J$37000,"4*",'Accounting data'!$K$2:$K$37000,"62*")+SUMIFS('Accounting data'!$G$2:$G$37000,'Accounting data'!$H$2:$H$37000,"1500*",'Accounting data'!$I$2:$I$37000,"200*",'Accounting data'!$J$2:$J$37000,"4*",'Accounting data'!$K$2:$K$37000,"62*")+SUMIFS('Accounting data'!$G$2:$G$37000,'Accounting data'!$H$2:$H$37000,"1000*",'Accounting data'!$I$2:$I$37000,"270*",'Accounting data'!$J$2:$J$37000,"4*",'Accounting data'!$K$2:$K$37000,"62*")+SUMIFS('Accounting data'!$G$2:$G$37000,'Accounting data'!$H$2:$H$37000,"1500*",'Accounting data'!$I$2:$I$37000,"270*",'Accounting data'!$J$2:$J$37000,"4*",'Accounting data'!$K$2:$K$37000,"62*")</f>
        <v>0</v>
      </c>
      <c r="F35" s="553">
        <f>SUMIFS('Accounting data'!$G$2:$G$37000,'Accounting data'!$H$2:$H$37000,"1000*",'Accounting data'!$I$2:$I$37000,"200*",'Accounting data'!$J$2:$J$37000,"4*",'Accounting data'!$K$2:$K$37000,"63*")+SUMIFS('Accounting data'!$G$2:$G$37000,'Accounting data'!$H$2:$H$37000,"1500*",'Accounting data'!$I$2:$I$37000,"200*",'Accounting data'!$J$2:$J$37000,"4*",'Accounting data'!$K$2:$K$37000,"63*")+SUMIFS('Accounting data'!$G$2:$G$37000,'Accounting data'!$H$2:$H$37000,"1000*",'Accounting data'!$I$2:$I$37000,"270*",'Accounting data'!$J$2:$J$37000,"4*",'Accounting data'!$K$2:$K$37000,"63*")+SUMIFS('Accounting data'!$G$2:$G$37000,'Accounting data'!$H$2:$H$37000,"1500*",'Accounting data'!$I$2:$I$37000,"270*",'Accounting data'!$J$2:$J$37000,"4*",'Accounting data'!$K$2:$K$37000,"63*")</f>
        <v>0</v>
      </c>
      <c r="G35" s="553">
        <f>SUMIFS('Accounting data'!$G$2:$G$37000,'Accounting data'!$H$2:$H$37000,"1000*",'Accounting data'!$I$2:$I$37000,"200*",'Accounting data'!$J$2:$J$37000,"4*",'Accounting data'!$K$2:$K$37000,"66*")+SUMIFS('Accounting data'!$G$2:$G$37000,'Accounting data'!$H$2:$H$37000,"1500*",'Accounting data'!$I$2:$I$37000,"200*",'Accounting data'!$J$2:$J$37000,"4*",'Accounting data'!$K$2:$K$37000,"66*")+SUMIFS('Accounting data'!$G$2:$G$37000,'Accounting data'!$H$2:$H$37000,"1000*",'Accounting data'!$I$2:$I$37000,"270*",'Accounting data'!$J$2:$J$37000,"4*",'Accounting data'!$K$2:$K$37000,"66*")+SUMIFS('Accounting data'!$G$2:$G$37000,'Accounting data'!$H$2:$H$37000,"1500*",'Accounting data'!$I$2:$I$37000,"270*",'Accounting data'!$J$2:$J$37000,"4*",'Accounting data'!$K$2:$K$37000,"66*")</f>
        <v>0</v>
      </c>
      <c r="H35" s="553">
        <f>SUMIFS('Accounting data'!$G$2:$G$37000,'Accounting data'!$H$2:$H$37000,"1000*",'Accounting data'!$I$2:$I$37000,"200*",'Accounting data'!$J$2:$J$37000,"4*",'Accounting data'!$K$2:$K$37000,"68*")+SUMIFS('Accounting data'!$G$2:$G$37000,'Accounting data'!$H$2:$H$37000,"1500*",'Accounting data'!$I$2:$I$37000,"200*",'Accounting data'!$J$2:$J$37000,"4*",'Accounting data'!$K$2:$K$37000,"68*")+SUMIFS('Accounting data'!$G$2:$G$37000,'Accounting data'!$H$2:$H$37000,"1000*",'Accounting data'!$I$2:$I$37000,"270*",'Accounting data'!$J$2:$J$37000,"4*",'Accounting data'!$K$2:$K$37000,"68*")+SUMIFS('Accounting data'!$G$2:$G$37000,'Accounting data'!$H$2:$H$37000,"1500*",'Accounting data'!$I$2:$I$37000,"270*",'Accounting data'!$J$2:$J$37000,"4*",'Accounting data'!$K$2:$K$37000,"68*")</f>
        <v>0</v>
      </c>
      <c r="I35" s="552">
        <f>[1]!SP1000P200F4000</f>
        <v>0</v>
      </c>
      <c r="J35" s="554">
        <f t="shared" si="3"/>
        <v>0</v>
      </c>
      <c r="K35" s="552">
        <f>[2]!SP1000P200F4000</f>
        <v>0</v>
      </c>
      <c r="L35" s="555">
        <f t="shared" si="4"/>
        <v>0</v>
      </c>
      <c r="M35" s="68" t="s">
        <v>73</v>
      </c>
    </row>
    <row r="36" spans="1:13" ht="12" customHeight="1" x14ac:dyDescent="0.25">
      <c r="A36" s="91" t="s">
        <v>130</v>
      </c>
      <c r="C36" s="92" t="s">
        <v>75</v>
      </c>
      <c r="D36" s="553">
        <f>SUMIFS('Accounting data'!$G$2:$G$37000,'Accounting data'!$H$2:$H$37000,"1000*",'Accounting data'!$I$2:$I$37000,"200*",'Accounting data'!$J$2:$J$37000,"5*",'Accounting data'!$K$2:$K$37000,"61*")+SUMIFS('Accounting data'!$G$2:$G$37000,'Accounting data'!$H$2:$H$37000,"1500*",'Accounting data'!$I$2:$I$37000,"200*",'Accounting data'!$J$2:$J$37000,"5*",'Accounting data'!$K$2:$K$37000,"61*")+SUMIFS('Accounting data'!$G$2:$G$37000,'Accounting data'!$H$2:$H$37000,"1000*",'Accounting data'!$I$2:$I$37000,"270*",'Accounting data'!$J$2:$J$37000,"5*",'Accounting data'!$K$2:$K$37000,"61*")+SUMIFS('Accounting data'!$G$2:$G$37000,'Accounting data'!$H$2:$H$37000,"1500*",'Accounting data'!$I$2:$I$37000,"270*",'Accounting data'!$J$2:$J$37000,"5*",'Accounting data'!$K$2:$K$37000,"61*")</f>
        <v>0</v>
      </c>
      <c r="E36" s="553">
        <f>SUMIFS('Accounting data'!$G$2:$G$37000,'Accounting data'!$H$2:$H$37000,"1000*",'Accounting data'!$I$2:$I$37000,"200*",'Accounting data'!$J$2:$J$37000,"5*",'Accounting data'!$K$2:$K$37000,"62*")+SUMIFS('Accounting data'!$G$2:$G$37000,'Accounting data'!$H$2:$H$37000,"1500*",'Accounting data'!$I$2:$I$37000,"200*",'Accounting data'!$J$2:$J$37000,"5*",'Accounting data'!$K$2:$K$37000,"62*")+SUMIFS('Accounting data'!$G$2:$G$37000,'Accounting data'!$H$2:$H$37000,"1000*",'Accounting data'!$I$2:$I$37000,"270*",'Accounting data'!$J$2:$J$37000,"5*",'Accounting data'!$K$2:$K$37000,"62*")+SUMIFS('Accounting data'!$G$2:$G$37000,'Accounting data'!$H$2:$H$37000,"1500*",'Accounting data'!$I$2:$I$37000,"270*",'Accounting data'!$J$2:$J$37000,"5*",'Accounting data'!$K$2:$K$37000,"62*")</f>
        <v>0</v>
      </c>
      <c r="F36" s="553">
        <f>SUMIFS('Accounting data'!$G$2:$G$37000,'Accounting data'!$H$2:$H$37000,"1000*",'Accounting data'!$I$2:$I$37000,"200*",'Accounting data'!$J$2:$J$37000,"5*",'Accounting data'!$K$2:$K$37000,"63*")+SUMIFS('Accounting data'!$G$2:$G$37000,'Accounting data'!$H$2:$H$37000,"1500*",'Accounting data'!$I$2:$I$37000,"200*",'Accounting data'!$J$2:$J$37000,"5*",'Accounting data'!$K$2:$K$37000,"63*")+SUMIFS('Accounting data'!$G$2:$G$37000,'Accounting data'!$H$2:$H$37000,"1000*",'Accounting data'!$I$2:$I$37000,"270*",'Accounting data'!$J$2:$J$37000,"5*",'Accounting data'!$K$2:$K$37000,"63*")+SUMIFS('Accounting data'!$G$2:$G$37000,'Accounting data'!$H$2:$H$37000,"1500*",'Accounting data'!$I$2:$I$37000,"270*",'Accounting data'!$J$2:$J$37000,"5*",'Accounting data'!$K$2:$K$37000,"63*")</f>
        <v>0</v>
      </c>
      <c r="G36" s="553">
        <f>SUMIFS('Accounting data'!$G$2:$G$37000,'Accounting data'!$H$2:$H$37000,"1000*",'Accounting data'!$I$2:$I$37000,"200*",'Accounting data'!$J$2:$J$37000,"5*",'Accounting data'!$K$2:$K$37000,"66*")+SUMIFS('Accounting data'!$G$2:$G$37000,'Accounting data'!$H$2:$H$37000,"1500*",'Accounting data'!$I$2:$I$37000,"200*",'Accounting data'!$J$2:$J$37000,"5*",'Accounting data'!$K$2:$K$37000,"66*")+SUMIFS('Accounting data'!$G$2:$G$37000,'Accounting data'!$H$2:$H$37000,"1000*",'Accounting data'!$I$2:$I$37000,"270*",'Accounting data'!$J$2:$J$37000,"5*",'Accounting data'!$K$2:$K$37000,"66*")+SUMIFS('Accounting data'!$G$2:$G$37000,'Accounting data'!$H$2:$H$37000,"1500*",'Accounting data'!$I$2:$I$37000,"270*",'Accounting data'!$J$2:$J$37000,"5*",'Accounting data'!$K$2:$K$37000,"66*")</f>
        <v>0</v>
      </c>
      <c r="H36" s="553">
        <f>SUMIFS('Accounting data'!$G$2:$G$37000,'Accounting data'!$H$2:$H$37000,"1000*",'Accounting data'!$I$2:$I$37000,"200*",'Accounting data'!$J$2:$J$37000,"5*",'Accounting data'!$K$2:$K$37000,"68*")+SUMIFS('Accounting data'!$G$2:$G$37000,'Accounting data'!$H$2:$H$37000,"1500*",'Accounting data'!$I$2:$I$37000,"200*",'Accounting data'!$J$2:$J$37000,"5*",'Accounting data'!$K$2:$K$37000,"68*")+SUMIFS('Accounting data'!$G$2:$G$37000,'Accounting data'!$H$2:$H$37000,"1000*",'Accounting data'!$I$2:$I$37000,"270*",'Accounting data'!$J$2:$J$37000,"5*",'Accounting data'!$K$2:$K$37000,"68*")+SUMIFS('Accounting data'!$G$2:$G$37000,'Accounting data'!$H$2:$H$37000,"1500*",'Accounting data'!$I$2:$I$37000,"270*",'Accounting data'!$J$2:$J$37000,"5*",'Accounting data'!$K$2:$K$37000,"68*")</f>
        <v>0</v>
      </c>
      <c r="I36" s="552">
        <f>[1]!SP1000P200F5000</f>
        <v>0</v>
      </c>
      <c r="J36" s="554">
        <f t="shared" si="3"/>
        <v>0</v>
      </c>
      <c r="K36" s="552">
        <f>[2]!SP1000P200F5000</f>
        <v>0</v>
      </c>
      <c r="L36" s="555">
        <f t="shared" si="4"/>
        <v>0</v>
      </c>
      <c r="M36" s="68" t="s">
        <v>75</v>
      </c>
    </row>
    <row r="37" spans="1:13" ht="12" customHeight="1" x14ac:dyDescent="0.25">
      <c r="A37" s="95" t="s">
        <v>131</v>
      </c>
      <c r="B37" s="6"/>
      <c r="C37" s="98" t="s">
        <v>77</v>
      </c>
      <c r="D37" s="553">
        <f>SUM(D25:D36)</f>
        <v>0</v>
      </c>
      <c r="E37" s="553">
        <f t="shared" ref="E37:G37" si="5">SUM(E25:E36)</f>
        <v>0</v>
      </c>
      <c r="F37" s="553">
        <f t="shared" si="5"/>
        <v>37504</v>
      </c>
      <c r="G37" s="553">
        <f t="shared" si="5"/>
        <v>0</v>
      </c>
      <c r="H37" s="553">
        <f>SUM(H25:H36)</f>
        <v>0</v>
      </c>
      <c r="I37" s="553">
        <f>SUM(I25:I36)</f>
        <v>35000</v>
      </c>
      <c r="J37" s="553">
        <f>SUM(J25:J36)</f>
        <v>37504</v>
      </c>
      <c r="K37" s="553">
        <f>SUM(K25:K36)</f>
        <v>34002</v>
      </c>
      <c r="L37" s="99">
        <f t="shared" si="4"/>
        <v>0.10299999999999999</v>
      </c>
      <c r="M37" s="100" t="s">
        <v>77</v>
      </c>
    </row>
    <row r="38" spans="1:13" ht="12" customHeight="1" x14ac:dyDescent="0.25">
      <c r="A38" s="101" t="s">
        <v>132</v>
      </c>
      <c r="B38" s="102"/>
      <c r="C38" s="98" t="s">
        <v>79</v>
      </c>
      <c r="D38" s="553">
        <f>SUMIFS('Accounting data'!$G$2:$G$37000,'Accounting data'!$H$2:$H$37000,"1000*",'Accounting data'!$I$2:$I$37000,"400*",'Accounting data'!$K$2:$K$37000,"61*")+SUMIFS('Accounting data'!$G$2:$G$37000,'Accounting data'!$H$2:$H$37000,"1500*",'Accounting data'!$I$2:$I$37000,"400*",'Accounting data'!$K$2:$K$37000,"61*")</f>
        <v>0</v>
      </c>
      <c r="E38" s="553">
        <f>SUMIFS('Accounting data'!$G$2:$G$37000,'Accounting data'!$H$2:$H$37000,"1000*",'Accounting data'!$I$2:$I$37000,"400*",'Accounting data'!$K$2:$K$37000,"62*")+SUMIFS('Accounting data'!$G$2:$G$37000,'Accounting data'!$H$2:$H$37000,"1500*",'Accounting data'!$I$2:$I$37000,"400*",'Accounting data'!$K$2:$K$37000,"62*")</f>
        <v>0</v>
      </c>
      <c r="F38" s="553">
        <f>SUMIFS('Accounting data'!$G$2:$G$37000,'Accounting data'!$H$2:$H$37000,"1000*",'Accounting data'!$I$2:$I$37000,"400*",'Accounting data'!$K$2:$K$37000,"63*")+SUMIFS('Accounting data'!$G$2:$G$37000,'Accounting data'!$H$2:$H$37000,"1500*",'Accounting data'!$I$2:$I$37000,"400*",'Accounting data'!$K$2:$K$37000,"63*")</f>
        <v>0</v>
      </c>
      <c r="G38" s="553">
        <f>SUMIFS('Accounting data'!$G$2:$G$37000,'Accounting data'!$H$2:$H$37000,"1000*",'Accounting data'!$I$2:$I$37000,"400*",'Accounting data'!$K$2:$K$37000,"66*")+SUMIFS('Accounting data'!$G$2:$G$37000,'Accounting data'!$H$2:$H$37000,"1500*",'Accounting data'!$I$2:$I$37000,"400*",'Accounting data'!$K$2:$K$37000,"66*")</f>
        <v>8911</v>
      </c>
      <c r="H38" s="553">
        <f>SUMIFS('Accounting data'!$G$2:$G$37000,'Accounting data'!$H$2:$H$37000,"1000*",'Accounting data'!$I$2:$I$37000,"400*",'Accounting data'!$K$2:$K$37000,"68*")+SUMIFS('Accounting data'!$G$2:$G$37000,'Accounting data'!$H$2:$H$37000,"1500*",'Accounting data'!$I$2:$I$37000,"400*",'Accounting data'!$K$2:$K$37000,"68*")</f>
        <v>0</v>
      </c>
      <c r="I38" s="552">
        <f>[1]!SP1000P400</f>
        <v>0</v>
      </c>
      <c r="J38" s="554">
        <f>SUM(D38:H38)</f>
        <v>8911</v>
      </c>
      <c r="K38" s="552">
        <f>[2]!SP1000P400</f>
        <v>8911</v>
      </c>
      <c r="L38" s="555">
        <f t="shared" si="4"/>
        <v>0</v>
      </c>
      <c r="M38" s="100" t="s">
        <v>79</v>
      </c>
    </row>
    <row r="39" spans="1:13" ht="12" customHeight="1" x14ac:dyDescent="0.25">
      <c r="A39" s="101" t="s">
        <v>133</v>
      </c>
      <c r="B39" s="102"/>
      <c r="C39" s="103" t="s">
        <v>81</v>
      </c>
      <c r="D39" s="553">
        <f>SUMIFS('Accounting data'!$G$2:$G$37000,'Accounting data'!$H$2:$H$37000,"1000*",'Accounting data'!$I$2:$I$37000,"53*",'Accounting data'!$K$2:$K$37000,"61*")+SUMIFS('Accounting data'!$G$2:$G$37000,'Accounting data'!$H$2:$H$37000,"1500*",'Accounting data'!$I$2:$I$37000,"53*",'Accounting data'!$K$2:$K$37000,"61*")</f>
        <v>0</v>
      </c>
      <c r="E39" s="553">
        <f>SUMIFS('Accounting data'!$G$2:$G$37000,'Accounting data'!$H$2:$H$37000,"1000*",'Accounting data'!$I$2:$I$37000,"53*",'Accounting data'!$K$2:$K$37000,"62*")+SUMIFS('Accounting data'!$G$2:$G$37000,'Accounting data'!$H$2:$H$37000,"1000*",'Accounting data'!$I$2:$I$37000,"53*",'Accounting data'!$K$2:$K$37000,"62*")</f>
        <v>0</v>
      </c>
      <c r="F39" s="553">
        <f>SUMIFS('Accounting data'!$G$2:$G$37000,'Accounting data'!$H$2:$H$37000,"1000*",'Accounting data'!$I$2:$I$37000,"53*",'Accounting data'!$K$2:$K$37000,"63*")+SUMIFS('Accounting data'!$G$2:$G$37000,'Accounting data'!$H$2:$H$37000,"1500*",'Accounting data'!$I$2:$I$37000,"53*",'Accounting data'!$K$2:$K$37000,"63*")</f>
        <v>0</v>
      </c>
      <c r="G39" s="553">
        <f>SUMIFS('Accounting data'!$G$2:$G$37000,'Accounting data'!$H$2:$H$37000,"1000*",'Accounting data'!$I$2:$I$37000,"53*",'Accounting data'!$K$2:$K$37000,"66*")+SUMIFS('Accounting data'!$G$2:$G$37000,'Accounting data'!$H$2:$H$37000,"1500*",'Accounting data'!$I$2:$I$37000,"53*",'Accounting data'!$K$2:$K$37000,"66*")</f>
        <v>0</v>
      </c>
      <c r="H39" s="553">
        <f>SUMIFS('Accounting data'!$G$2:$G$37000,'Accounting data'!$H$2:$H$37000,"1000*",'Accounting data'!$I$2:$I$37000,"53*",'Accounting data'!$K$2:$K$37000,"68*")+SUMIFS('Accounting data'!$G$2:$G$37000,'Accounting data'!$H$2:$H$37000,"1500*",'Accounting data'!$I$2:$I$37000,"53*",'Accounting data'!$K$2:$K$37000,"68*")</f>
        <v>0</v>
      </c>
      <c r="I39" s="552">
        <f>[1]!SP1000P530</f>
        <v>0</v>
      </c>
      <c r="J39" s="554">
        <f>SUM(D39:H39)</f>
        <v>0</v>
      </c>
      <c r="K39" s="552">
        <f>[2]!SP1000P530</f>
        <v>0</v>
      </c>
      <c r="L39" s="555">
        <f t="shared" si="4"/>
        <v>0</v>
      </c>
      <c r="M39" s="100" t="s">
        <v>81</v>
      </c>
    </row>
    <row r="40" spans="1:13" ht="12" customHeight="1" x14ac:dyDescent="0.25">
      <c r="A40" s="101" t="s">
        <v>134</v>
      </c>
      <c r="B40" s="102"/>
      <c r="C40" s="103" t="s">
        <v>83</v>
      </c>
      <c r="D40" s="553">
        <f>SUMIFS('Accounting data'!$G$2:$G$37000,'Accounting data'!$H$2:$H$37000,"1000*",'Accounting data'!$I$2:$I$37000,"54*",'Accounting data'!$K$2:$K$37000,"61*")+SUMIFS('Accounting data'!$G$2:$G$37000,'Accounting data'!$H$2:$H$37000,"1500*",'Accounting data'!$I$2:$I$37000,"54*",'Accounting data'!$K$2:$K$37000,"61*")</f>
        <v>0</v>
      </c>
      <c r="E40" s="553">
        <f>SUMIFS('Accounting data'!$G$2:$G$37000,'Accounting data'!$H$2:$H$37000,"1000*",'Accounting data'!$I$2:$I$37000,"54*",'Accounting data'!$K$2:$K$37000,"62*")+SUMIFS('Accounting data'!$G$2:$G$37000,'Accounting data'!$H$2:$H$37000,"1500*",'Accounting data'!$I$2:$I$37000,"54*",'Accounting data'!$K$2:$K$37000,"62*")</f>
        <v>0</v>
      </c>
      <c r="F40" s="553">
        <f>SUMIFS('Accounting data'!$G$2:$G$37000,'Accounting data'!$H$2:$H$37000,"1000*",'Accounting data'!$I$2:$I$37000,"54*",'Accounting data'!$K$2:$K$37000,"63*")+SUMIFS('Accounting data'!$G$2:$G$37000,'Accounting data'!$H$2:$H$37000,"1500*",'Accounting data'!$I$2:$I$37000,"54*",'Accounting data'!$K$2:$K$37000,"63*")</f>
        <v>0</v>
      </c>
      <c r="G40" s="553">
        <f>SUMIFS('Accounting data'!$G$2:$G$37000,'Accounting data'!$H$2:$H$37000,"1000*",'Accounting data'!$I$2:$I$37000,"54*",'Accounting data'!$K$2:$K$37000,"66*")+SUMIFS('Accounting data'!$G$2:$G$37000,'Accounting data'!$H$2:$H$37000,"1500*",'Accounting data'!$I$2:$I$37000,"54*",'Accounting data'!$K$2:$K$37000,"66*")</f>
        <v>0</v>
      </c>
      <c r="H40" s="553">
        <f>SUMIFS('Accounting data'!$G$2:$G$37000,'Accounting data'!$H$2:$H$37000,"1000*",'Accounting data'!$I$2:$I$37000,"54*",'Accounting data'!$K$2:$K$37000,"68*")+SUMIFS('Accounting data'!$G$2:$G$37000,'Accounting data'!$H$2:$H$37000,"1500*",'Accounting data'!$I$2:$I$37000,"54*",'Accounting data'!$K$2:$K$37000,"68*")</f>
        <v>0</v>
      </c>
      <c r="I40" s="552">
        <f>[1]!SP1000P540</f>
        <v>0</v>
      </c>
      <c r="J40" s="554">
        <f>SUM(D40:H40)</f>
        <v>0</v>
      </c>
      <c r="K40" s="552">
        <f>[2]!SP1000P540</f>
        <v>0</v>
      </c>
      <c r="L40" s="555">
        <f t="shared" si="4"/>
        <v>0</v>
      </c>
      <c r="M40" s="100" t="s">
        <v>83</v>
      </c>
    </row>
    <row r="41" spans="1:13" ht="12" customHeight="1" x14ac:dyDescent="0.25">
      <c r="A41" s="101" t="s">
        <v>135</v>
      </c>
      <c r="B41" s="102"/>
      <c r="C41" s="103" t="s">
        <v>84</v>
      </c>
      <c r="D41" s="553">
        <f>SUMIFS('Accounting data'!$G$2:$G$37000,'Accounting data'!$H$2:$H$37000,"1000*",'Accounting data'!$I$2:$I$37000,"55*",'Accounting data'!$K$2:$K$37000,"61*")+SUMIFS('Accounting data'!$G$2:$G$37000,'Accounting data'!$H$2:$H$37000,"1500*",'Accounting data'!$I$2:$I$37000,"55*",'Accounting data'!$K$2:$K$37000,"61*")</f>
        <v>0</v>
      </c>
      <c r="E41" s="553">
        <f>SUMIFS('Accounting data'!$G$2:$G$37000,'Accounting data'!$H$2:$H$37000,"1000*",'Accounting data'!$I$2:$I$37000,"55*",'Accounting data'!$K$2:$K$37000,"62*")+SUMIFS('Accounting data'!$G$2:$G$37000,'Accounting data'!$H$2:$H$37000,"1500*",'Accounting data'!$I$2:$I$37000,"55*",'Accounting data'!$K$2:$K$37000,"62*")</f>
        <v>0</v>
      </c>
      <c r="F41" s="553">
        <f>SUMIFS('Accounting data'!$G$2:$G$37000,'Accounting data'!$H$2:$H$37000,"1000*",'Accounting data'!$I$2:$I$37000,"55*",'Accounting data'!$K$2:$K$37000,"63*")+SUMIFS('Accounting data'!$G$2:$G$37000,'Accounting data'!$H$2:$H$37000,"1500*",'Accounting data'!$I$2:$I$37000,"55*",'Accounting data'!$K$2:$K$37000,"63*")</f>
        <v>0</v>
      </c>
      <c r="G41" s="553">
        <f>SUMIFS('Accounting data'!$G$2:$G$37000,'Accounting data'!$H$2:$H$37000,"1000*",'Accounting data'!$I$2:$I$37000,"55*",'Accounting data'!$K$2:$K$37000,"66*")+SUMIFS('Accounting data'!$G$2:$G$37000,'Accounting data'!$H$2:$H$37000,"1500*",'Accounting data'!$I$2:$I$37000,"55*",'Accounting data'!$K$2:$K$37000,"66*")</f>
        <v>0</v>
      </c>
      <c r="H41" s="553">
        <f>SUMIFS('Accounting data'!$G$2:$G$37000,'Accounting data'!$H$2:$H$37000,"1000*",'Accounting data'!$I$2:$I$37000,"55*",'Accounting data'!$K$2:$K$37000,"68*")+SUMIFS('Accounting data'!$G$2:$G$37000,'Accounting data'!$H$2:$H$37000,"1500*",'Accounting data'!$I$2:$I$37000,"55*",'Accounting data'!$K$2:$K$37000,"68*")</f>
        <v>0</v>
      </c>
      <c r="I41" s="552">
        <f>[1]!SP1000P550</f>
        <v>0</v>
      </c>
      <c r="J41" s="554">
        <f>SUM(D41:H41)</f>
        <v>0</v>
      </c>
      <c r="K41" s="552">
        <f>[2]!SP1000P550</f>
        <v>0</v>
      </c>
      <c r="L41" s="555">
        <f t="shared" si="4"/>
        <v>0</v>
      </c>
      <c r="M41" s="100" t="s">
        <v>84</v>
      </c>
    </row>
    <row r="42" spans="1:13" ht="12" customHeight="1" x14ac:dyDescent="0.25">
      <c r="A42" s="101" t="s">
        <v>136</v>
      </c>
      <c r="B42" s="102"/>
      <c r="C42" s="103" t="s">
        <v>137</v>
      </c>
      <c r="D42" s="553">
        <f t="shared" ref="D42:I42" si="6">SUM(D38:D41)+D37+D23</f>
        <v>948108</v>
      </c>
      <c r="E42" s="553">
        <f t="shared" si="6"/>
        <v>86351</v>
      </c>
      <c r="F42" s="553">
        <f t="shared" si="6"/>
        <v>1807820</v>
      </c>
      <c r="G42" s="553">
        <f t="shared" si="6"/>
        <v>742067</v>
      </c>
      <c r="H42" s="553">
        <f t="shared" si="6"/>
        <v>19899</v>
      </c>
      <c r="I42" s="552">
        <f t="shared" si="6"/>
        <v>3333343</v>
      </c>
      <c r="J42" s="554">
        <f>SUM(J37:J41)+J23</f>
        <v>3604245</v>
      </c>
      <c r="K42" s="554">
        <f>SUM(K23)+SUM(K37:K41)</f>
        <v>2519548</v>
      </c>
      <c r="L42" s="555">
        <f t="shared" si="4"/>
        <v>0.43049999999999999</v>
      </c>
      <c r="M42" s="100" t="s">
        <v>137</v>
      </c>
    </row>
    <row r="43" spans="1:13" ht="12" customHeight="1" x14ac:dyDescent="0.25">
      <c r="A43" s="101" t="s">
        <v>1126</v>
      </c>
      <c r="B43" s="102"/>
      <c r="C43" s="103" t="s">
        <v>138</v>
      </c>
      <c r="D43" s="553">
        <f>'Page 3'!F13</f>
        <v>486625</v>
      </c>
      <c r="E43" s="553">
        <f>'Page 3'!G13</f>
        <v>0</v>
      </c>
      <c r="F43" s="553">
        <f>'Page 3'!H13</f>
        <v>0</v>
      </c>
      <c r="G43" s="553">
        <f>'Page 3'!I13</f>
        <v>0</v>
      </c>
      <c r="H43" s="697">
        <f>'Page 3'!G18</f>
        <v>0</v>
      </c>
      <c r="I43" s="552">
        <f>[1]!SP1000ClassSiteProj</f>
        <v>280000</v>
      </c>
      <c r="J43" s="554">
        <f>SUM(D43:H43)</f>
        <v>486625</v>
      </c>
      <c r="K43" s="552">
        <f>[2]!SP1000ClassSiteProj</f>
        <v>276750</v>
      </c>
      <c r="L43" s="555">
        <f t="shared" si="4"/>
        <v>0.75839999999999996</v>
      </c>
      <c r="M43" s="100" t="s">
        <v>138</v>
      </c>
    </row>
    <row r="44" spans="1:13" ht="12" customHeight="1" x14ac:dyDescent="0.25">
      <c r="A44" s="101" t="s">
        <v>139</v>
      </c>
      <c r="B44" s="102"/>
      <c r="C44" s="103" t="s">
        <v>140</v>
      </c>
      <c r="D44" s="104"/>
      <c r="E44" s="104"/>
      <c r="F44" s="104"/>
      <c r="G44" s="104"/>
      <c r="H44" s="104"/>
      <c r="I44" s="552">
        <f>[1]!SP1000InstrImpProj</f>
        <v>10000</v>
      </c>
      <c r="J44" s="554">
        <f>SUMIFS('Accounting data'!$G$2:$G$37000,'Accounting data'!$H$2:$H$37000,"1020*",'Accounting data'!$K$2:$K$37000,"6*")</f>
        <v>32467</v>
      </c>
      <c r="K44" s="552">
        <f>[2]!SP1000InstrImpProj</f>
        <v>20650</v>
      </c>
      <c r="L44" s="555">
        <f t="shared" si="4"/>
        <v>0.57230000000000003</v>
      </c>
      <c r="M44" s="100" t="s">
        <v>140</v>
      </c>
    </row>
    <row r="45" spans="1:13" ht="12" customHeight="1" x14ac:dyDescent="0.25">
      <c r="A45" s="101" t="s">
        <v>141</v>
      </c>
      <c r="B45" s="102"/>
      <c r="C45" s="103" t="s">
        <v>142</v>
      </c>
      <c r="D45" s="553">
        <f>TotalSEIP6100</f>
        <v>0</v>
      </c>
      <c r="E45" s="553">
        <f>TotalSEIP6200</f>
        <v>0</v>
      </c>
      <c r="F45" s="553">
        <f>TotalSEIP630064006500</f>
        <v>0</v>
      </c>
      <c r="G45" s="553">
        <f>TotalSEIP6600</f>
        <v>0</v>
      </c>
      <c r="H45" s="553">
        <f>TotalSEIP6800</f>
        <v>0</v>
      </c>
      <c r="I45" s="552">
        <f>[1]!SP1000StruEngImmProj</f>
        <v>0</v>
      </c>
      <c r="J45" s="554">
        <f>SUM(D45:H45)</f>
        <v>0</v>
      </c>
      <c r="K45" s="552">
        <f>[2]!SP1000StruEngImmProj</f>
        <v>0</v>
      </c>
      <c r="L45" s="555">
        <f t="shared" si="4"/>
        <v>0</v>
      </c>
      <c r="M45" s="100" t="s">
        <v>142</v>
      </c>
    </row>
    <row r="46" spans="1:13" ht="12" customHeight="1" x14ac:dyDescent="0.25">
      <c r="A46" s="101" t="s">
        <v>143</v>
      </c>
      <c r="B46" s="102"/>
      <c r="C46" s="103" t="s">
        <v>144</v>
      </c>
      <c r="D46" s="553">
        <f>TotalCIP6100</f>
        <v>0</v>
      </c>
      <c r="E46" s="553">
        <f>TotalCIP6200</f>
        <v>0</v>
      </c>
      <c r="F46" s="553">
        <f>TotalCIP630064006500</f>
        <v>0</v>
      </c>
      <c r="G46" s="553">
        <f>TotalCIP6600</f>
        <v>0</v>
      </c>
      <c r="H46" s="553">
        <f>TotalCIP6800</f>
        <v>0</v>
      </c>
      <c r="I46" s="552">
        <f>[1]!SP1000CompInstrProj</f>
        <v>0</v>
      </c>
      <c r="J46" s="554">
        <f>SUM(D46:H46)</f>
        <v>0</v>
      </c>
      <c r="K46" s="552">
        <f>[2]!SP1000CompInstrProj</f>
        <v>0</v>
      </c>
      <c r="L46" s="555">
        <f t="shared" si="4"/>
        <v>0</v>
      </c>
      <c r="M46" s="100" t="s">
        <v>144</v>
      </c>
    </row>
    <row r="47" spans="1:13" ht="12" customHeight="1" x14ac:dyDescent="0.25">
      <c r="A47" s="214" t="s">
        <v>1127</v>
      </c>
      <c r="B47" s="105"/>
      <c r="C47" s="103" t="s">
        <v>145</v>
      </c>
      <c r="D47" s="106"/>
      <c r="E47" s="106"/>
      <c r="F47" s="106"/>
      <c r="G47" s="106"/>
      <c r="H47" s="106"/>
      <c r="I47" s="552">
        <f>[1]!SP1000FedStProj</f>
        <v>445000</v>
      </c>
      <c r="J47" s="554">
        <f>ActualTotalFederalAndStateProjects</f>
        <v>609337</v>
      </c>
      <c r="K47" s="552">
        <f>[2]!SP1000FedStProj</f>
        <v>502371</v>
      </c>
      <c r="L47" s="555">
        <f t="shared" si="4"/>
        <v>0.21290000000000001</v>
      </c>
      <c r="M47" s="100" t="s">
        <v>145</v>
      </c>
    </row>
    <row r="48" spans="1:13" ht="12" customHeight="1" x14ac:dyDescent="0.25">
      <c r="A48" s="101" t="s">
        <v>146</v>
      </c>
      <c r="B48" s="102"/>
      <c r="C48" s="103" t="s">
        <v>147</v>
      </c>
      <c r="D48" s="106"/>
      <c r="E48" s="106"/>
      <c r="F48" s="106"/>
      <c r="G48" s="106"/>
      <c r="H48" s="106"/>
      <c r="I48" s="554">
        <f>SUM(I42:I47)</f>
        <v>4068343</v>
      </c>
      <c r="J48" s="554">
        <f>SUM(J42:J47)</f>
        <v>4732674</v>
      </c>
      <c r="K48" s="554">
        <f>SUM(K42:K47)</f>
        <v>3319319</v>
      </c>
      <c r="L48" s="555">
        <f t="shared" si="4"/>
        <v>0.42580000000000001</v>
      </c>
      <c r="M48" s="100" t="s">
        <v>147</v>
      </c>
    </row>
  </sheetData>
  <sheetProtection sheet="1" formatCells="0" formatColumns="0" formatRows="0"/>
  <mergeCells count="11">
    <mergeCell ref="L26:L27"/>
    <mergeCell ref="L24:L25"/>
    <mergeCell ref="L21:L22"/>
    <mergeCell ref="B1:C1"/>
    <mergeCell ref="L3:L5"/>
    <mergeCell ref="I3:K3"/>
    <mergeCell ref="I21:I22"/>
    <mergeCell ref="N10:AF10"/>
    <mergeCell ref="N9:AF9"/>
    <mergeCell ref="L6:L7"/>
    <mergeCell ref="L8:L9"/>
  </mergeCells>
  <conditionalFormatting sqref="J10">
    <cfRule type="expression" dxfId="76" priority="1" stopIfTrue="1">
      <formula>$N$10&lt;&gt;""</formula>
    </cfRule>
  </conditionalFormatting>
  <conditionalFormatting sqref="N9:AF9">
    <cfRule type="expression" dxfId="75" priority="11" stopIfTrue="1">
      <formula>$N$9&lt;&gt;""</formula>
    </cfRule>
  </conditionalFormatting>
  <conditionalFormatting sqref="N10:AF10">
    <cfRule type="expression" dxfId="74" priority="10" stopIfTrue="1">
      <formula>$N$10&lt;&gt;""</formula>
    </cfRule>
  </conditionalFormatting>
  <hyperlinks>
    <hyperlink ref="A4" location="ExpensesPage2" display="Expenses" xr:uid="{00000000-0004-0000-0300-000000000000}"/>
    <hyperlink ref="A47:B47" location="FederalAndStateProjectsPage2" display="Federal and State Projects (from page 9, line 30)" xr:uid="{00000000-0004-0000-0300-000001000000}"/>
    <hyperlink ref="B3" location="ExpensesPage2" display="Instructions" xr:uid="{F6A47C96-D511-4C4A-A580-7CD476A10413}"/>
  </hyperlinks>
  <pageMargins left="0.7" right="0.7" top="0.75" bottom="0.75" header="0.3" footer="0.3"/>
  <pageSetup scale="76" orientation="landscape" r:id="rId1"/>
  <headerFooter>
    <oddFooter>&amp;LRev. 8/25 Arizona Department of Education and Auditor General&amp;CFY 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67B2-2EA9-4084-AAFC-A40F2E53C17A}">
  <sheetPr>
    <pageSetUpPr fitToPage="1"/>
  </sheetPr>
  <dimension ref="A1:AA31"/>
  <sheetViews>
    <sheetView showGridLines="0" workbookViewId="0"/>
  </sheetViews>
  <sheetFormatPr defaultColWidth="9.33203125" defaultRowHeight="13.2" x14ac:dyDescent="0.25"/>
  <cols>
    <col min="1" max="1" width="1.77734375" customWidth="1"/>
    <col min="2" max="2" width="2" customWidth="1"/>
    <col min="3" max="3" width="25.77734375" customWidth="1"/>
    <col min="4" max="4" width="17.109375" customWidth="1"/>
    <col min="5" max="5" width="4.33203125" customWidth="1"/>
    <col min="6" max="6" width="19.77734375" customWidth="1"/>
    <col min="7" max="12" width="16" customWidth="1"/>
    <col min="13" max="13" width="79.6640625" customWidth="1"/>
    <col min="15" max="15" width="8.77734375" customWidth="1"/>
  </cols>
  <sheetData>
    <row r="1" spans="1:13" x14ac:dyDescent="0.25">
      <c r="A1" s="551" t="s">
        <v>0</v>
      </c>
      <c r="D1" s="1" t="str">
        <f>'Cover Page'!D1</f>
        <v>Highland Prep West</v>
      </c>
      <c r="E1" s="569"/>
      <c r="F1" s="64" t="s">
        <v>148</v>
      </c>
      <c r="G1" s="1" t="str">
        <f>'Cover Page'!M1</f>
        <v>Maricopa</v>
      </c>
      <c r="H1" s="4"/>
      <c r="I1" s="64" t="s">
        <v>2</v>
      </c>
      <c r="J1" s="2" t="str">
        <f>'Cover Page'!R1</f>
        <v>078419000</v>
      </c>
    </row>
    <row r="4" spans="1:13" x14ac:dyDescent="0.25">
      <c r="A4" s="78"/>
      <c r="B4" s="114"/>
      <c r="C4" s="115"/>
      <c r="D4" s="115"/>
      <c r="E4" s="116"/>
      <c r="F4" s="76"/>
      <c r="G4" s="572" t="s">
        <v>149</v>
      </c>
      <c r="H4" s="572" t="s">
        <v>150</v>
      </c>
      <c r="I4" s="85"/>
      <c r="J4" s="822" t="s">
        <v>87</v>
      </c>
      <c r="K4" s="823"/>
      <c r="L4" s="117"/>
    </row>
    <row r="5" spans="1:13" x14ac:dyDescent="0.25">
      <c r="A5" s="118" t="s">
        <v>89</v>
      </c>
      <c r="C5" s="119"/>
      <c r="D5" s="119"/>
      <c r="E5" s="120"/>
      <c r="F5" s="83" t="s">
        <v>90</v>
      </c>
      <c r="G5" s="81" t="s">
        <v>91</v>
      </c>
      <c r="H5" s="83" t="s">
        <v>92</v>
      </c>
      <c r="I5" s="121" t="s">
        <v>93</v>
      </c>
      <c r="J5" s="83"/>
      <c r="K5" s="83"/>
      <c r="L5" s="122"/>
    </row>
    <row r="6" spans="1:13" x14ac:dyDescent="0.25">
      <c r="A6" s="95"/>
      <c r="B6" s="6"/>
      <c r="C6" s="123"/>
      <c r="D6" s="123"/>
      <c r="E6" s="124"/>
      <c r="F6" s="88">
        <v>6100</v>
      </c>
      <c r="G6" s="577">
        <v>6200</v>
      </c>
      <c r="H6" s="88" t="s">
        <v>97</v>
      </c>
      <c r="I6" s="88">
        <v>6600</v>
      </c>
      <c r="J6" s="88" t="s">
        <v>98</v>
      </c>
      <c r="K6" s="88" t="s">
        <v>23</v>
      </c>
      <c r="L6" s="122"/>
    </row>
    <row r="7" spans="1:13" x14ac:dyDescent="0.25">
      <c r="A7" s="561" t="s">
        <v>151</v>
      </c>
      <c r="B7" s="562"/>
      <c r="C7" s="562"/>
      <c r="D7" s="562"/>
      <c r="E7" s="125"/>
      <c r="F7" s="85"/>
      <c r="G7" s="85"/>
      <c r="H7" s="85"/>
      <c r="I7" s="85"/>
      <c r="J7" s="85"/>
      <c r="K7" s="85"/>
      <c r="L7" s="91"/>
    </row>
    <row r="8" spans="1:13" x14ac:dyDescent="0.25">
      <c r="A8" s="126"/>
      <c r="B8" s="119"/>
      <c r="C8" t="s">
        <v>152</v>
      </c>
      <c r="D8" s="119"/>
      <c r="E8" s="127" t="s">
        <v>24</v>
      </c>
      <c r="F8" s="559">
        <f>SUMIFS('Accounting data'!$G$2:$G$37000,'Accounting data'!$H$2:$H$37000,"1010*",'Accounting data'!$J$2:$J$37000,"1*",'Accounting data'!$K$2:$K$37000,"61*")</f>
        <v>486625</v>
      </c>
      <c r="G8" s="559">
        <f>SUMIFS('Accounting data'!$G$2:$G$37000,'Accounting data'!$H$2:$H$37000,"1010*",'Accounting data'!$J$2:$J$37000,"1*",'Accounting data'!$K$2:$K$37000,"62*")</f>
        <v>0</v>
      </c>
      <c r="H8" s="559">
        <f>SUMIFS('Accounting data'!$G$2:$G$37000,'Accounting data'!$H$2:$H$37000,"1010*",'Accounting data'!$J$2:$J$37000,"1*",'Accounting data'!$K$2:$K$37000,"63*")</f>
        <v>0</v>
      </c>
      <c r="I8" s="559">
        <f>SUMIFS('Accounting data'!$G$2:$G$37000,'Accounting data'!$H$2:$H$37000,"1010*",'Accounting data'!$J$2:$J$37000,"1*",'Accounting data'!$K$2:$K$37000,"66*")</f>
        <v>0</v>
      </c>
      <c r="J8" s="558">
        <f t="array" ref="J8">[1]!_CSP1000</f>
        <v>280000</v>
      </c>
      <c r="K8" s="559">
        <f>SUM(F8:I8)</f>
        <v>486625</v>
      </c>
      <c r="L8" s="91"/>
    </row>
    <row r="9" spans="1:13" x14ac:dyDescent="0.25">
      <c r="A9" s="126"/>
      <c r="B9" s="119"/>
      <c r="C9" t="s">
        <v>153</v>
      </c>
      <c r="D9" s="119"/>
      <c r="E9" s="127" t="s">
        <v>26</v>
      </c>
      <c r="F9" s="554">
        <f>SUMIFS('Accounting data'!$G$2:$G$37000,'Accounting data'!$H$2:$H$37000,"1010*",'Accounting data'!$J$2:$J$37000,"21*",'Accounting data'!$K$2:$K$37000,"61*")</f>
        <v>0</v>
      </c>
      <c r="G9" s="554">
        <f>SUMIFS('Accounting data'!$G$2:$G$37000,'Accounting data'!$H$2:$H$37000,"1010*",'Accounting data'!$J$2:$J$37000,"21*",'Accounting data'!$K$2:$K$37000,"62*")</f>
        <v>0</v>
      </c>
      <c r="H9" s="554">
        <f>SUMIFS('Accounting data'!$G$2:$G$37000,'Accounting data'!$H$2:$H$37000,"1010*",'Accounting data'!$J$2:$J$37000,"21*",'Accounting data'!$K$2:$K$37000,"63*")</f>
        <v>0</v>
      </c>
      <c r="I9" s="554">
        <f>SUMIFS('Accounting data'!$G$2:$G$37000,'Accounting data'!$H$2:$H$37000,"1010*",'Accounting data'!$J$2:$J$37000,"21*",'Accounting data'!$K$2:$K$37000,"66*")</f>
        <v>0</v>
      </c>
      <c r="J9" s="552">
        <f t="array" ref="J9">[1]!_CSP2100</f>
        <v>0</v>
      </c>
      <c r="K9" s="554">
        <f t="shared" ref="K9:K13" si="0">SUM(F9:I9)</f>
        <v>0</v>
      </c>
      <c r="L9" s="91"/>
    </row>
    <row r="10" spans="1:13" x14ac:dyDescent="0.25">
      <c r="A10" s="126"/>
      <c r="B10" s="119"/>
      <c r="C10" t="s">
        <v>154</v>
      </c>
      <c r="D10" s="119"/>
      <c r="E10" s="127" t="s">
        <v>28</v>
      </c>
      <c r="F10" s="554">
        <f>SUMIFS('Accounting data'!$G$2:$G$37000,'Accounting data'!$H$2:$H$37000,"1010*",'Accounting data'!$J$2:$J$37000,"22*",'Accounting data'!$K$2:$K$37000,"61*")</f>
        <v>0</v>
      </c>
      <c r="G10" s="554">
        <f>SUMIFS('Accounting data'!$G$2:$G$37000,'Accounting data'!$H$2:$H$37000,"1010*",'Accounting data'!$J$2:$J$37000,"22*",'Accounting data'!$K$2:$K$37000,"62*")</f>
        <v>0</v>
      </c>
      <c r="H10" s="554">
        <f>SUMIFS('Accounting data'!$G$2:$G$37000,'Accounting data'!$H$2:$H$37000,"1010*",'Accounting data'!$J$2:$J$37000,"22*",'Accounting data'!$K$2:$K$37000,"63*")</f>
        <v>0</v>
      </c>
      <c r="I10" s="554">
        <f>SUMIFS('Accounting data'!$G$2:$G$37000,'Accounting data'!$H$2:$H$37000,"1010*",'Accounting data'!$J$2:$J$37000,"22*",'Accounting data'!$K$2:$K$37000,"66*")</f>
        <v>0</v>
      </c>
      <c r="J10" s="552">
        <f t="array" ref="J10">[1]!_CSP2200</f>
        <v>0</v>
      </c>
      <c r="K10" s="554">
        <f t="shared" si="0"/>
        <v>0</v>
      </c>
      <c r="L10" s="91"/>
    </row>
    <row r="11" spans="1:13" x14ac:dyDescent="0.25">
      <c r="A11" s="126"/>
      <c r="B11" s="119"/>
      <c r="C11" s="214" t="s">
        <v>155</v>
      </c>
      <c r="D11" s="128"/>
      <c r="E11" s="127" t="s">
        <v>31</v>
      </c>
      <c r="F11" s="106"/>
      <c r="G11" s="106"/>
      <c r="H11" s="554">
        <f>SUMIFS('Accounting data'!$G$2:$G$37000,'Accounting data'!$H$2:$H$37000,"1010*",'Accounting data'!$J$2:$J$37000,"23*",'Accounting data'!$K$2:$K$37000,"63*")</f>
        <v>0</v>
      </c>
      <c r="I11" s="106"/>
      <c r="J11" s="552">
        <f t="array" ref="J11">[1]!_CSP2300</f>
        <v>0</v>
      </c>
      <c r="K11" s="554">
        <f t="shared" si="0"/>
        <v>0</v>
      </c>
      <c r="L11" s="91"/>
    </row>
    <row r="12" spans="1:13" ht="12.75" customHeight="1" x14ac:dyDescent="0.25">
      <c r="A12" s="129"/>
      <c r="B12" s="123"/>
      <c r="C12" s="655" t="s">
        <v>156</v>
      </c>
      <c r="D12" s="130"/>
      <c r="E12" s="131" t="s">
        <v>33</v>
      </c>
      <c r="F12" s="554">
        <f>SUMIFS('Accounting data'!$G$2:$G$37000,'Accounting data'!$H$2:$H$37000,"1010*",'Accounting data'!$J$2:$J$37000,"33*",'Accounting data'!$K$2:$K$37000,"61*")</f>
        <v>0</v>
      </c>
      <c r="G12" s="554">
        <f>SUMIFS('Accounting data'!$G$2:$G$37000,'Accounting data'!$H$2:$H$37000,"1010*",'Accounting data'!$J$2:$J$37000,"33*",'Accounting data'!$K$2:$K$37000,"62*")</f>
        <v>0</v>
      </c>
      <c r="H12" s="554">
        <f>SUMIFS('Accounting data'!$G$2:$G$37000,'Accounting data'!$H$2:$H$37000,"1010*",'Accounting data'!$J$2:$J$37000,"33*",'Accounting data'!$K$2:$K$37000,"63*")</f>
        <v>0</v>
      </c>
      <c r="I12" s="106"/>
      <c r="J12" s="552">
        <f t="array" ref="J12">[1]!_CSP3300</f>
        <v>0</v>
      </c>
      <c r="K12" s="554">
        <f t="shared" si="0"/>
        <v>0</v>
      </c>
      <c r="L12" s="91"/>
      <c r="M12" s="824" t="str">
        <f>IF('Page 2'!J48=0,"",IF(OR(K13&lt;=0),"The Charter did not report any expenses for Classroom Site Project. If the Charter did not have any expense, verify by checking the box in A14 on the Cover Page.",""))</f>
        <v/>
      </c>
    </row>
    <row r="13" spans="1:13" ht="12" customHeight="1" x14ac:dyDescent="0.25">
      <c r="A13" s="95" t="s">
        <v>157</v>
      </c>
      <c r="B13" s="123"/>
      <c r="C13" s="6"/>
      <c r="D13" s="123"/>
      <c r="E13" s="131" t="s">
        <v>35</v>
      </c>
      <c r="F13" s="554">
        <f>SUM(F8:F12)</f>
        <v>486625</v>
      </c>
      <c r="G13" s="554">
        <f>SUM(G8:G12)</f>
        <v>0</v>
      </c>
      <c r="H13" s="554">
        <f>SUM(H8:H12)</f>
        <v>0</v>
      </c>
      <c r="I13" s="554">
        <f>SUM(I8:I12)</f>
        <v>0</v>
      </c>
      <c r="J13" s="554">
        <f>SUM(J8:J12)</f>
        <v>280000</v>
      </c>
      <c r="K13" s="554">
        <f t="shared" si="0"/>
        <v>486625</v>
      </c>
      <c r="L13" s="91"/>
      <c r="M13" s="824"/>
    </row>
    <row r="16" spans="1:13" ht="16.5" customHeight="1" x14ac:dyDescent="0.25">
      <c r="A16" s="561" t="s">
        <v>158</v>
      </c>
      <c r="B16" s="561"/>
      <c r="C16" s="562"/>
      <c r="D16" s="561"/>
      <c r="E16" s="132"/>
      <c r="F16" s="133" t="s">
        <v>98</v>
      </c>
      <c r="G16" s="583" t="s">
        <v>23</v>
      </c>
    </row>
    <row r="17" spans="1:27" x14ac:dyDescent="0.25">
      <c r="A17" s="73"/>
      <c r="B17" s="134"/>
      <c r="C17" s="74" t="s">
        <v>159</v>
      </c>
      <c r="D17" s="134"/>
      <c r="E17" s="135" t="s">
        <v>36</v>
      </c>
      <c r="F17" s="554">
        <f>'[1]Page 3'!$F$17</f>
        <v>0</v>
      </c>
      <c r="G17" s="107"/>
    </row>
    <row r="18" spans="1:27" ht="14.4" x14ac:dyDescent="0.25">
      <c r="A18" s="91"/>
      <c r="B18" s="550"/>
      <c r="C18" t="s">
        <v>160</v>
      </c>
      <c r="D18" s="550"/>
      <c r="E18" s="67" t="s">
        <v>38</v>
      </c>
      <c r="F18" s="554">
        <f>'[1]Page 3'!$F$18</f>
        <v>0</v>
      </c>
      <c r="G18" s="553">
        <f>SUMIFS('Accounting data'!$G$2:$G$37000,'Accounting data'!$H$2:$H$37000,"1010*",'Accounting data'!$K$2:$K$37000,"685*")</f>
        <v>0</v>
      </c>
      <c r="AA18" s="136" t="str">
        <f>IF(OR(F17="",F18="",F19=""),"yes","")</f>
        <v/>
      </c>
    </row>
    <row r="19" spans="1:27" x14ac:dyDescent="0.25">
      <c r="A19" s="95"/>
      <c r="B19" s="137"/>
      <c r="C19" s="6" t="s">
        <v>161</v>
      </c>
      <c r="D19" s="137"/>
      <c r="E19" s="138" t="s">
        <v>40</v>
      </c>
      <c r="F19" s="554">
        <f>'[1]Page 3'!$F$19</f>
        <v>0</v>
      </c>
      <c r="G19" s="107"/>
    </row>
    <row r="21" spans="1:27" x14ac:dyDescent="0.25">
      <c r="D21" s="6"/>
      <c r="E21" s="139"/>
      <c r="F21" s="6"/>
    </row>
    <row r="22" spans="1:27" x14ac:dyDescent="0.25">
      <c r="A22" s="140"/>
      <c r="B22" s="141"/>
      <c r="C22" s="141"/>
      <c r="D22" s="141"/>
      <c r="E22" s="141"/>
      <c r="F22" s="76" t="s">
        <v>162</v>
      </c>
    </row>
    <row r="23" spans="1:27" x14ac:dyDescent="0.25">
      <c r="A23" s="142" t="s">
        <v>163</v>
      </c>
      <c r="B23" s="143"/>
      <c r="C23" s="143"/>
      <c r="D23" s="144"/>
      <c r="E23" s="139"/>
      <c r="F23" s="88">
        <v>1010</v>
      </c>
    </row>
    <row r="24" spans="1:27" x14ac:dyDescent="0.25">
      <c r="A24" s="73" t="s">
        <v>164</v>
      </c>
      <c r="B24" s="74"/>
      <c r="C24" s="74"/>
      <c r="D24" s="134"/>
      <c r="E24" s="663" t="s">
        <v>42</v>
      </c>
      <c r="F24" s="552">
        <f>'[2]Page 3'!$F$30</f>
        <v>73221</v>
      </c>
    </row>
    <row r="25" spans="1:27" x14ac:dyDescent="0.25">
      <c r="A25" s="214" t="s">
        <v>1228</v>
      </c>
      <c r="B25" s="214"/>
      <c r="C25" s="214"/>
      <c r="D25" s="119"/>
      <c r="E25" s="67" t="s">
        <v>44</v>
      </c>
      <c r="F25" s="56"/>
    </row>
    <row r="26" spans="1:27" x14ac:dyDescent="0.25">
      <c r="A26" s="91"/>
      <c r="B26" t="s">
        <v>165</v>
      </c>
      <c r="D26" s="119"/>
      <c r="E26" s="663" t="s">
        <v>45</v>
      </c>
      <c r="F26" s="554">
        <f>-(SUMIFS('Accounting data'!$G$2:$G$37000,'Accounting data'!$H$2:$H$37000,"1010*",'Accounting data'!$K$2:$K$37000,"3*"))</f>
        <v>479051</v>
      </c>
    </row>
    <row r="27" spans="1:27" x14ac:dyDescent="0.25">
      <c r="A27" s="91"/>
      <c r="B27" t="s">
        <v>166</v>
      </c>
      <c r="D27" s="119"/>
      <c r="E27" s="663" t="s">
        <v>47</v>
      </c>
      <c r="F27" s="554">
        <f>-(SUMIFS('Accounting data'!$G$2:$G$37000,'Accounting data'!$H$2:$H$37000,"1010*",'Accounting data'!$K$2:$K$37000,"15*"))</f>
        <v>0</v>
      </c>
    </row>
    <row r="28" spans="1:27" x14ac:dyDescent="0.25">
      <c r="A28" s="91" t="s">
        <v>1279</v>
      </c>
      <c r="D28" s="119"/>
      <c r="E28" s="663" t="s">
        <v>49</v>
      </c>
      <c r="F28" s="554">
        <f>F26+F27</f>
        <v>479051</v>
      </c>
    </row>
    <row r="29" spans="1:27" x14ac:dyDescent="0.25">
      <c r="A29" s="91" t="s">
        <v>1280</v>
      </c>
      <c r="D29" s="119"/>
      <c r="E29" s="663" t="s">
        <v>51</v>
      </c>
      <c r="F29" s="554">
        <f>IF(F25="",F24,F25)+F28</f>
        <v>552272</v>
      </c>
    </row>
    <row r="30" spans="1:27" x14ac:dyDescent="0.25">
      <c r="A30" s="91" t="s">
        <v>1281</v>
      </c>
      <c r="D30" s="119"/>
      <c r="E30" s="663" t="s">
        <v>53</v>
      </c>
      <c r="F30" s="554">
        <f>K13+G17+G18+G19</f>
        <v>486625</v>
      </c>
    </row>
    <row r="31" spans="1:27" x14ac:dyDescent="0.25">
      <c r="A31" s="95" t="s">
        <v>1282</v>
      </c>
      <c r="B31" s="6"/>
      <c r="C31" s="6"/>
      <c r="D31" s="123"/>
      <c r="E31" s="676" t="s">
        <v>55</v>
      </c>
      <c r="F31" s="602">
        <f>F29-F30</f>
        <v>65647</v>
      </c>
    </row>
  </sheetData>
  <sheetProtection sheet="1" objects="1" scenarios="1"/>
  <mergeCells count="2">
    <mergeCell ref="J4:K4"/>
    <mergeCell ref="M12:M13"/>
  </mergeCells>
  <conditionalFormatting sqref="F25">
    <cfRule type="containsBlanks" dxfId="73" priority="1">
      <formula>LEN(TRIM(F25))=0</formula>
    </cfRule>
  </conditionalFormatting>
  <conditionalFormatting sqref="F13:I13">
    <cfRule type="expression" dxfId="72" priority="5" stopIfTrue="1">
      <formula>$M$12&lt;&gt;""</formula>
    </cfRule>
  </conditionalFormatting>
  <conditionalFormatting sqref="G17">
    <cfRule type="containsBlanks" dxfId="71" priority="3">
      <formula>LEN(TRIM(G17))=0</formula>
    </cfRule>
  </conditionalFormatting>
  <conditionalFormatting sqref="G19">
    <cfRule type="containsBlanks" dxfId="70" priority="2">
      <formula>LEN(TRIM(G19))=0</formula>
    </cfRule>
  </conditionalFormatting>
  <conditionalFormatting sqref="K13">
    <cfRule type="expression" dxfId="69" priority="4" stopIfTrue="1">
      <formula>$M$12&lt;&gt;""</formula>
    </cfRule>
  </conditionalFormatting>
  <conditionalFormatting sqref="M12">
    <cfRule type="expression" dxfId="68" priority="9" stopIfTrue="1">
      <formula>$M$12&lt;&gt;""</formula>
    </cfRule>
  </conditionalFormatting>
  <hyperlinks>
    <hyperlink ref="A7:C7" location="ClssrmSitepg3" display="Classroom Site Project 1010" xr:uid="{00000000-0004-0000-0400-000000000000}"/>
    <hyperlink ref="C11" location="CSPlines4914" display="2300 Support services—general administration" xr:uid="{00000000-0004-0000-0400-000001000000}"/>
    <hyperlink ref="C12" location="CSPlines122615" display="3300 Community services operation" xr:uid="{00000000-0004-0000-0400-000002000000}"/>
    <hyperlink ref="A16:D16" location="CSPPropertyPayments" display="Classroom Site Project 1010 property payments" xr:uid="{00000000-0004-0000-0400-000003000000}"/>
    <hyperlink ref="A25:C25" location="Page3AdjBeginProjBal" display="Adjusted beginning project balance" xr:uid="{F6C61C6D-C42F-43D9-9C3D-10CF071E938E}"/>
  </hyperlinks>
  <pageMargins left="0.7" right="0.7" top="0.75" bottom="0.75" header="0.3" footer="0.3"/>
  <pageSetup scale="82" orientation="landscape" r:id="rId1"/>
  <headerFooter>
    <oddFooter>&amp;LRev. 8/25 Arizona Department of Education and Auditor General&amp;CFY 2025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B19C-07ED-48B7-ABA5-D6BCCEFE8DD4}">
  <dimension ref="A1:AA30"/>
  <sheetViews>
    <sheetView showGridLines="0" workbookViewId="0">
      <selection activeCell="F8" sqref="F8"/>
    </sheetView>
  </sheetViews>
  <sheetFormatPr defaultColWidth="8.77734375" defaultRowHeight="13.2" x14ac:dyDescent="0.25"/>
  <cols>
    <col min="1" max="1" width="1.77734375" customWidth="1"/>
    <col min="2" max="2" width="20.33203125" customWidth="1"/>
    <col min="3" max="3" width="15.33203125" customWidth="1"/>
    <col min="4" max="4" width="20" customWidth="1"/>
    <col min="5" max="5" width="5.21875" customWidth="1"/>
    <col min="6" max="9" width="15.33203125" customWidth="1"/>
    <col min="10" max="10" width="2.6640625" bestFit="1" customWidth="1"/>
    <col min="11" max="13" width="15.33203125" customWidth="1"/>
    <col min="14" max="15" width="8.77734375" customWidth="1"/>
    <col min="16" max="24" width="8.77734375" hidden="1" customWidth="1"/>
    <col min="25" max="25" width="8.77734375" customWidth="1"/>
    <col min="26" max="26" width="20.21875" customWidth="1"/>
    <col min="27" max="27" width="8.77734375" customWidth="1"/>
  </cols>
  <sheetData>
    <row r="1" spans="1:27" ht="12.75" customHeight="1" x14ac:dyDescent="0.25">
      <c r="A1" s="551" t="s">
        <v>0</v>
      </c>
      <c r="C1" s="802" t="str">
        <f>'Cover Page'!D1</f>
        <v>Highland Prep West</v>
      </c>
      <c r="D1" s="802"/>
      <c r="F1" s="4"/>
      <c r="G1" s="64" t="s">
        <v>1</v>
      </c>
      <c r="H1" s="802" t="str">
        <f>'Cover Page'!M1</f>
        <v>Maricopa</v>
      </c>
      <c r="I1" s="802"/>
      <c r="J1" s="4"/>
      <c r="K1" s="64"/>
      <c r="L1" s="64" t="s">
        <v>2</v>
      </c>
      <c r="M1" s="2" t="str">
        <f>'Cover Page'!R1</f>
        <v>078419000</v>
      </c>
    </row>
    <row r="2" spans="1:27" ht="12.75" customHeight="1" x14ac:dyDescent="0.25">
      <c r="A2" s="4"/>
      <c r="B2" s="4"/>
      <c r="C2" s="4"/>
      <c r="D2" s="4"/>
      <c r="E2" s="4"/>
      <c r="F2" s="4"/>
      <c r="G2" s="4"/>
      <c r="H2" s="4"/>
      <c r="I2" s="4"/>
      <c r="J2" s="4"/>
    </row>
    <row r="3" spans="1:27" ht="12.75" customHeight="1" x14ac:dyDescent="0.25">
      <c r="A3" s="145"/>
      <c r="B3" s="74"/>
      <c r="C3" s="74"/>
      <c r="D3" s="74"/>
      <c r="E3" s="74"/>
      <c r="F3" s="145" t="s">
        <v>20</v>
      </c>
      <c r="G3" s="572" t="s">
        <v>167</v>
      </c>
      <c r="H3" s="822" t="s">
        <v>87</v>
      </c>
      <c r="I3" s="823"/>
      <c r="J3" s="4"/>
    </row>
    <row r="4" spans="1:27" ht="12.75" customHeight="1" x14ac:dyDescent="0.25">
      <c r="A4" s="118" t="s">
        <v>89</v>
      </c>
      <c r="F4" s="81" t="s">
        <v>168</v>
      </c>
      <c r="G4" s="83" t="s">
        <v>92</v>
      </c>
      <c r="H4" s="572"/>
      <c r="I4" s="146"/>
      <c r="J4" s="4"/>
    </row>
    <row r="5" spans="1:27" ht="12.75" customHeight="1" x14ac:dyDescent="0.25">
      <c r="A5" s="95"/>
      <c r="B5" s="6"/>
      <c r="C5" s="6"/>
      <c r="D5" s="6"/>
      <c r="E5" s="6"/>
      <c r="F5" s="81">
        <v>1000</v>
      </c>
      <c r="G5" s="83">
        <v>2000</v>
      </c>
      <c r="H5" s="88" t="s">
        <v>98</v>
      </c>
      <c r="I5" s="578" t="s">
        <v>23</v>
      </c>
      <c r="J5" s="4"/>
    </row>
    <row r="6" spans="1:27" ht="12.75" customHeight="1" x14ac:dyDescent="0.25">
      <c r="A6" s="89" t="s">
        <v>169</v>
      </c>
      <c r="B6" s="74"/>
      <c r="C6" s="74"/>
      <c r="D6" s="74"/>
      <c r="E6" s="147"/>
      <c r="F6" s="148"/>
      <c r="G6" s="148"/>
      <c r="H6" s="148"/>
      <c r="I6" s="148"/>
      <c r="J6" s="149"/>
    </row>
    <row r="7" spans="1:27" ht="12.75" customHeight="1" x14ac:dyDescent="0.25">
      <c r="A7" s="91"/>
      <c r="B7" t="s">
        <v>170</v>
      </c>
      <c r="E7" s="150">
        <v>1</v>
      </c>
      <c r="F7" s="55">
        <v>32467</v>
      </c>
      <c r="G7" s="55"/>
      <c r="H7" s="559">
        <f>[1]!IIPTeacherCompensationIncreases</f>
        <v>5000</v>
      </c>
      <c r="I7" s="559">
        <f>SUM(F7:G7)</f>
        <v>32467</v>
      </c>
      <c r="J7" s="151">
        <v>1</v>
      </c>
      <c r="AA7" s="53" t="str">
        <f>IF(OR(F7="",F8="",F9="",F10="",G7="",G9="",G10="",G24="",G25="",G26="",G27="",G28=""),"yes","")</f>
        <v>yes</v>
      </c>
    </row>
    <row r="8" spans="1:27" ht="12.75" customHeight="1" x14ac:dyDescent="0.25">
      <c r="A8" s="91"/>
      <c r="B8" t="s">
        <v>171</v>
      </c>
      <c r="E8" s="152">
        <v>2</v>
      </c>
      <c r="F8" s="55"/>
      <c r="G8" s="153"/>
      <c r="H8" s="552">
        <f>[1]!IIPClassSizeReduction</f>
        <v>0</v>
      </c>
      <c r="I8" s="554">
        <f>SUM(F8:G8)</f>
        <v>0</v>
      </c>
      <c r="J8" s="151">
        <v>2</v>
      </c>
    </row>
    <row r="9" spans="1:27" ht="12.75" customHeight="1" x14ac:dyDescent="0.25">
      <c r="A9" s="91"/>
      <c r="B9" t="s">
        <v>172</v>
      </c>
      <c r="E9" s="152">
        <v>3</v>
      </c>
      <c r="F9" s="54"/>
      <c r="G9" s="54"/>
      <c r="H9" s="552">
        <f>[1]!IIPDropoutPreventionPrograms</f>
        <v>5000</v>
      </c>
      <c r="I9" s="554">
        <f>SUM(F9:G9)</f>
        <v>0</v>
      </c>
      <c r="J9" s="151">
        <v>3</v>
      </c>
    </row>
    <row r="10" spans="1:27" ht="12.75" customHeight="1" x14ac:dyDescent="0.25">
      <c r="A10" s="91"/>
      <c r="B10" t="s">
        <v>173</v>
      </c>
      <c r="E10" s="152">
        <v>4</v>
      </c>
      <c r="F10" s="54"/>
      <c r="G10" s="54"/>
      <c r="H10" s="552">
        <f>[1]!IIPInstructionalImprovementPrograms</f>
        <v>0</v>
      </c>
      <c r="I10" s="554">
        <f>SUM(F10:G10)</f>
        <v>0</v>
      </c>
      <c r="J10" s="151">
        <v>4</v>
      </c>
      <c r="K10" s="808" t="str">
        <f>IF('Page 2'!J48=0,"",IF(('Page 4'!I11=0),"If the Charter did not have any expense, verify by checking the box in A18 on the Cover Page.",""))</f>
        <v/>
      </c>
      <c r="L10" s="808"/>
      <c r="M10" s="808"/>
      <c r="N10" s="808"/>
      <c r="O10" s="808"/>
      <c r="P10" s="808"/>
      <c r="Q10" s="808"/>
      <c r="R10" s="808"/>
      <c r="S10" s="808"/>
      <c r="T10" s="808"/>
      <c r="U10" s="808"/>
      <c r="V10" s="808"/>
      <c r="W10" s="808"/>
      <c r="X10" s="808"/>
      <c r="Y10" s="808"/>
      <c r="Z10" s="808"/>
    </row>
    <row r="11" spans="1:27" ht="12.75" customHeight="1" x14ac:dyDescent="0.25">
      <c r="A11" s="95" t="s">
        <v>174</v>
      </c>
      <c r="B11" s="6"/>
      <c r="C11" s="6"/>
      <c r="D11" s="6"/>
      <c r="E11" s="154">
        <v>5</v>
      </c>
      <c r="F11" s="554">
        <f>SUM(F6:F10)</f>
        <v>32467</v>
      </c>
      <c r="G11" s="554">
        <f>SUM(G6:G10)</f>
        <v>0</v>
      </c>
      <c r="H11" s="554">
        <f>SUM(H7:H10)</f>
        <v>10000</v>
      </c>
      <c r="I11" s="554">
        <f>SUM(I7:I10)</f>
        <v>32467</v>
      </c>
      <c r="J11" s="151">
        <v>5</v>
      </c>
      <c r="K11" s="808" t="str">
        <f>IF('Page 2'!J48=0,"",IF(('Page 4'!I11&lt;&gt;'Page 2'!J44),"Total expenses for Instructional Improvement Project on line 5 should agree to the line 35 on page 2.",""))</f>
        <v/>
      </c>
      <c r="L11" s="808"/>
      <c r="M11" s="808"/>
      <c r="N11" s="808"/>
      <c r="O11" s="808"/>
      <c r="P11" s="808"/>
      <c r="Q11" s="808"/>
      <c r="R11" s="808"/>
      <c r="S11" s="808"/>
      <c r="T11" s="808"/>
      <c r="U11" s="808"/>
      <c r="V11" s="808"/>
      <c r="W11" s="808"/>
      <c r="X11" s="808"/>
      <c r="Y11" s="808"/>
      <c r="Z11" s="808"/>
    </row>
    <row r="12" spans="1:27" ht="12.75" customHeight="1" x14ac:dyDescent="0.25">
      <c r="K12" s="569"/>
    </row>
    <row r="13" spans="1:27" ht="12.75" customHeight="1" x14ac:dyDescent="0.25">
      <c r="A13" s="73"/>
      <c r="B13" s="74"/>
      <c r="C13" s="74"/>
      <c r="D13" s="74"/>
      <c r="E13" s="75"/>
      <c r="F13" s="85"/>
    </row>
    <row r="14" spans="1:27" ht="12.75" customHeight="1" x14ac:dyDescent="0.25">
      <c r="A14" s="86" t="s">
        <v>175</v>
      </c>
      <c r="B14" s="6"/>
      <c r="C14" s="6"/>
      <c r="D14" s="6"/>
      <c r="E14" s="87"/>
      <c r="F14" s="155" t="s">
        <v>23</v>
      </c>
    </row>
    <row r="15" spans="1:27" ht="12.75" customHeight="1" x14ac:dyDescent="0.25">
      <c r="A15" s="91" t="s">
        <v>164</v>
      </c>
      <c r="B15" s="4"/>
      <c r="D15" s="156"/>
      <c r="E15" s="157">
        <v>6</v>
      </c>
      <c r="F15" s="552">
        <f>[2]!AddlInstrImprProjEndBal</f>
        <v>0</v>
      </c>
      <c r="G15" s="151">
        <v>6</v>
      </c>
      <c r="I15" s="569"/>
      <c r="J15" s="569"/>
    </row>
    <row r="16" spans="1:27" ht="12.75" customHeight="1" x14ac:dyDescent="0.25">
      <c r="A16" s="669" t="s">
        <v>1228</v>
      </c>
      <c r="B16" s="668"/>
      <c r="C16" s="668"/>
      <c r="D16" s="156"/>
      <c r="E16" s="679">
        <v>7</v>
      </c>
      <c r="F16" s="56"/>
      <c r="G16" s="681">
        <v>7</v>
      </c>
      <c r="I16" s="569"/>
      <c r="J16" s="569"/>
    </row>
    <row r="17" spans="1:12" ht="12.75" customHeight="1" x14ac:dyDescent="0.25">
      <c r="A17" s="158" t="s">
        <v>165</v>
      </c>
      <c r="B17" s="31"/>
      <c r="D17" s="159"/>
      <c r="E17" s="679">
        <v>8</v>
      </c>
      <c r="F17" s="554">
        <f>-(SUMIFS('Accounting data'!$G$2:$G$37000,'Accounting data'!$H$2:$H$37000,"1020*",'Accounting data'!$K$2:$K$37000,"1*")+SUMIFS('Accounting data'!$G$2:$G$37000,'Accounting data'!$H$2:$H$37000,"1020*",'Accounting data'!$K$2:$K$37000,"2*")+SUMIFS('Accounting data'!$G$2:$G$37000,'Accounting data'!$H$2:$H$37000,"1020*",'Accounting data'!$K$2:$K$37000,"3*")+SUMIFS('Accounting data'!$G$2:$G$37000,'Accounting data'!$H$2:$H$37000,"1020*",'Accounting data'!$K$2:$K$37000,"4*")+SUMIFS('Accounting data'!$G$2:$G$37000,'Accounting data'!$H$2:$H$37000,"1020*",'Accounting data'!$K$2:$K$37000,"Other*"))</f>
        <v>32467</v>
      </c>
      <c r="G17" s="681">
        <v>8</v>
      </c>
      <c r="I17" s="569"/>
      <c r="J17" s="569"/>
    </row>
    <row r="18" spans="1:12" ht="12.75" customHeight="1" x14ac:dyDescent="0.25">
      <c r="A18" s="677" t="s">
        <v>1283</v>
      </c>
      <c r="B18" s="31"/>
      <c r="D18" s="159"/>
      <c r="E18" s="679">
        <v>9</v>
      </c>
      <c r="F18" s="554">
        <f>IF(F16="",F15,F16)+F17</f>
        <v>32467</v>
      </c>
      <c r="G18" s="681">
        <v>9</v>
      </c>
      <c r="I18" s="569"/>
      <c r="J18" s="569"/>
    </row>
    <row r="19" spans="1:12" ht="12.75" customHeight="1" x14ac:dyDescent="0.25">
      <c r="A19" s="677" t="s">
        <v>176</v>
      </c>
      <c r="D19" s="159"/>
      <c r="E19" s="679">
        <v>10</v>
      </c>
      <c r="F19" s="554">
        <f>ActualTotalInstImpExp</f>
        <v>32467</v>
      </c>
      <c r="G19" s="681">
        <v>10</v>
      </c>
      <c r="I19" s="569"/>
      <c r="J19" s="569"/>
    </row>
    <row r="20" spans="1:12" ht="12.75" customHeight="1" x14ac:dyDescent="0.25">
      <c r="A20" s="678" t="s">
        <v>1284</v>
      </c>
      <c r="B20" s="6"/>
      <c r="C20" s="6"/>
      <c r="D20" s="160"/>
      <c r="E20" s="680">
        <v>11</v>
      </c>
      <c r="F20" s="602">
        <f>F18-F19</f>
        <v>0</v>
      </c>
      <c r="G20" s="681">
        <v>11</v>
      </c>
    </row>
    <row r="21" spans="1:12" ht="12.75" customHeight="1" x14ac:dyDescent="0.25">
      <c r="A21" s="156"/>
      <c r="D21" s="156"/>
      <c r="E21" s="157"/>
      <c r="F21" s="161"/>
      <c r="G21" s="151"/>
    </row>
    <row r="22" spans="1:12" ht="12.75" customHeight="1" x14ac:dyDescent="0.25">
      <c r="A22" s="73"/>
      <c r="B22" s="74"/>
      <c r="C22" s="74"/>
      <c r="D22" s="162"/>
      <c r="E22" s="163"/>
      <c r="F22" s="164"/>
      <c r="G22" s="164"/>
      <c r="H22" s="151"/>
    </row>
    <row r="23" spans="1:12" ht="12.75" customHeight="1" x14ac:dyDescent="0.25">
      <c r="A23" s="825" t="s">
        <v>177</v>
      </c>
      <c r="B23" s="825"/>
      <c r="C23" s="825"/>
      <c r="D23" s="825"/>
      <c r="E23" s="165"/>
      <c r="F23" s="166" t="s">
        <v>98</v>
      </c>
      <c r="G23" s="166" t="s">
        <v>23</v>
      </c>
      <c r="H23" s="167"/>
    </row>
    <row r="24" spans="1:12" ht="12.75" customHeight="1" x14ac:dyDescent="0.25">
      <c r="A24" s="168"/>
      <c r="B24" s="74" t="s">
        <v>178</v>
      </c>
      <c r="C24" s="74"/>
      <c r="D24" s="169"/>
      <c r="E24" s="170">
        <v>1</v>
      </c>
      <c r="F24" s="171"/>
      <c r="G24" s="56"/>
      <c r="H24" s="172">
        <v>1</v>
      </c>
    </row>
    <row r="25" spans="1:12" ht="12.75" customHeight="1" x14ac:dyDescent="0.25">
      <c r="A25" s="173"/>
      <c r="B25" t="s">
        <v>179</v>
      </c>
      <c r="D25" s="159"/>
      <c r="E25" s="174">
        <v>2</v>
      </c>
      <c r="F25" s="171"/>
      <c r="G25" s="56"/>
      <c r="H25" s="172">
        <v>2</v>
      </c>
    </row>
    <row r="26" spans="1:12" ht="12.75" customHeight="1" x14ac:dyDescent="0.25">
      <c r="A26" s="173"/>
      <c r="B26" t="s">
        <v>180</v>
      </c>
      <c r="D26" s="159"/>
      <c r="E26" s="174">
        <v>3</v>
      </c>
      <c r="F26" s="171"/>
      <c r="G26" s="56"/>
      <c r="H26" s="172">
        <v>3</v>
      </c>
    </row>
    <row r="27" spans="1:12" ht="12.75" customHeight="1" x14ac:dyDescent="0.25">
      <c r="A27" s="173"/>
      <c r="B27" t="s">
        <v>181</v>
      </c>
      <c r="D27" s="159"/>
      <c r="E27" s="174">
        <v>4</v>
      </c>
      <c r="F27" s="171"/>
      <c r="G27" s="56"/>
      <c r="H27" s="172">
        <v>4</v>
      </c>
    </row>
    <row r="28" spans="1:12" ht="12.75" customHeight="1" x14ac:dyDescent="0.25">
      <c r="A28" s="173"/>
      <c r="B28" t="s">
        <v>182</v>
      </c>
      <c r="D28" s="159"/>
      <c r="E28" s="174">
        <v>5</v>
      </c>
      <c r="F28" s="171"/>
      <c r="G28" s="56"/>
      <c r="H28" s="172">
        <v>5</v>
      </c>
    </row>
    <row r="29" spans="1:12" ht="12.75" customHeight="1" x14ac:dyDescent="0.25">
      <c r="A29" s="95" t="s">
        <v>183</v>
      </c>
      <c r="B29" s="6"/>
      <c r="C29" s="6"/>
      <c r="D29" s="6"/>
      <c r="E29" s="175">
        <v>6</v>
      </c>
      <c r="F29" s="552">
        <f>'[1]Page 2'!$E$34</f>
        <v>0</v>
      </c>
      <c r="G29" s="554">
        <f>SUM(G24:G28)</f>
        <v>0</v>
      </c>
      <c r="H29" s="172">
        <v>6</v>
      </c>
      <c r="I29" s="4"/>
      <c r="J29" s="4"/>
      <c r="K29" s="4"/>
      <c r="L29" s="4"/>
    </row>
    <row r="30" spans="1:12" ht="12.75" customHeight="1" x14ac:dyDescent="0.25">
      <c r="F30" s="176"/>
      <c r="G30" s="176"/>
      <c r="H30" s="176"/>
      <c r="I30" s="176"/>
      <c r="J30" s="176"/>
      <c r="K30" s="177"/>
      <c r="L30" s="176"/>
    </row>
  </sheetData>
  <sheetProtection sheet="1" formatCells="0" formatColumns="0" formatRows="0"/>
  <mergeCells count="6">
    <mergeCell ref="A23:D23"/>
    <mergeCell ref="K11:Z11"/>
    <mergeCell ref="H1:I1"/>
    <mergeCell ref="H3:I3"/>
    <mergeCell ref="C1:D1"/>
    <mergeCell ref="K10:Z10"/>
  </mergeCells>
  <conditionalFormatting sqref="F16">
    <cfRule type="containsBlanks" dxfId="67" priority="1">
      <formula>LEN(TRIM(F16))=0</formula>
    </cfRule>
  </conditionalFormatting>
  <conditionalFormatting sqref="G24:G28">
    <cfRule type="expression" dxfId="66" priority="5" stopIfTrue="1">
      <formula>G24=""</formula>
    </cfRule>
  </conditionalFormatting>
  <conditionalFormatting sqref="G7:I7 F7:F10 G9:G10">
    <cfRule type="expression" dxfId="65" priority="6" stopIfTrue="1">
      <formula>F7=""</formula>
    </cfRule>
  </conditionalFormatting>
  <conditionalFormatting sqref="K10:Z10">
    <cfRule type="expression" dxfId="64" priority="2" stopIfTrue="1">
      <formula>$K$10&lt;&gt;""</formula>
    </cfRule>
    <cfRule type="expression" dxfId="63" priority="3" stopIfTrue="1">
      <formula>"K10&lt;&gt;"""""</formula>
    </cfRule>
  </conditionalFormatting>
  <conditionalFormatting sqref="K11:Z11">
    <cfRule type="expression" dxfId="62" priority="7" stopIfTrue="1">
      <formula>$K$11&lt;&gt;""</formula>
    </cfRule>
  </conditionalFormatting>
  <hyperlinks>
    <hyperlink ref="A23:D23" location="ArizonaIndustryCredentialsIncentive" display="Arizona Industry Credentials Incentive Project—detailed expenses" xr:uid="{00000000-0004-0000-0500-000000000000}"/>
    <hyperlink ref="A16:C16" location="Page4AdjBeginProjBal" display="Adjusted beginning project balance" xr:uid="{E0142B6F-FF82-46B0-BD92-45EF6A8673A6}"/>
  </hyperlinks>
  <pageMargins left="0.7" right="0.7" top="0.75" bottom="0.75" header="0.3" footer="0.3"/>
  <pageSetup scale="77" orientation="landscape" r:id="rId1"/>
  <headerFooter>
    <oddFooter>&amp;LRev. 8/25 Arizona Department of Education and Auditor General&amp;CFY 2025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C18DB-0724-440E-87A7-0293D325255D}">
  <sheetPr>
    <pageSetUpPr fitToPage="1"/>
  </sheetPr>
  <dimension ref="A1:Q48"/>
  <sheetViews>
    <sheetView showGridLines="0" workbookViewId="0"/>
  </sheetViews>
  <sheetFormatPr defaultColWidth="9.33203125" defaultRowHeight="13.2" x14ac:dyDescent="0.25"/>
  <cols>
    <col min="1" max="1" width="1.77734375" customWidth="1"/>
    <col min="2" max="2" width="2" customWidth="1"/>
    <col min="3" max="3" width="17" customWidth="1"/>
    <col min="4" max="4" width="24" customWidth="1"/>
    <col min="5" max="5" width="4.33203125" bestFit="1" customWidth="1"/>
    <col min="6" max="10" width="12.77734375" customWidth="1"/>
    <col min="11" max="11" width="14.77734375" customWidth="1"/>
    <col min="12" max="16" width="12.77734375" customWidth="1"/>
    <col min="17" max="17" width="3.6640625" bestFit="1" customWidth="1"/>
  </cols>
  <sheetData>
    <row r="1" spans="1:17" ht="12" customHeight="1" x14ac:dyDescent="0.25">
      <c r="A1" s="551" t="s">
        <v>0</v>
      </c>
      <c r="D1" s="802" t="str">
        <f>'Cover Page'!D1</f>
        <v>Highland Prep West</v>
      </c>
      <c r="E1" s="802"/>
      <c r="F1" s="4"/>
      <c r="G1" s="4"/>
      <c r="H1" s="4"/>
      <c r="J1" s="64" t="s">
        <v>1</v>
      </c>
      <c r="K1" s="802" t="str">
        <f>'Cover Page'!M1</f>
        <v>Maricopa</v>
      </c>
      <c r="L1" s="802"/>
      <c r="N1" s="64" t="s">
        <v>2</v>
      </c>
      <c r="O1" s="64"/>
      <c r="P1" s="2" t="str">
        <f>'Cover Page'!R1</f>
        <v>078419000</v>
      </c>
    </row>
    <row r="2" spans="1:17" ht="12" customHeight="1" x14ac:dyDescent="0.25">
      <c r="A2" s="71"/>
      <c r="B2" s="71"/>
      <c r="C2" s="71"/>
      <c r="D2" s="71"/>
      <c r="E2" s="71"/>
      <c r="F2" s="71"/>
      <c r="G2" s="71"/>
      <c r="H2" s="71"/>
      <c r="I2" s="71"/>
      <c r="J2" s="71"/>
      <c r="K2" s="71"/>
    </row>
    <row r="3" spans="1:17" ht="12" customHeight="1" x14ac:dyDescent="0.25">
      <c r="A3" s="89"/>
      <c r="B3" s="74"/>
      <c r="C3" s="74"/>
      <c r="D3" s="74"/>
      <c r="E3" s="75"/>
      <c r="F3" s="179" t="s">
        <v>184</v>
      </c>
      <c r="G3" s="842" t="s">
        <v>1230</v>
      </c>
      <c r="H3" s="75"/>
      <c r="I3" s="572"/>
      <c r="J3" s="180" t="s">
        <v>185</v>
      </c>
      <c r="K3" s="572" t="s">
        <v>86</v>
      </c>
      <c r="L3" s="75"/>
      <c r="M3" s="85"/>
      <c r="N3" s="822" t="s">
        <v>186</v>
      </c>
      <c r="O3" s="837"/>
      <c r="P3" s="572" t="s">
        <v>187</v>
      </c>
    </row>
    <row r="4" spans="1:17" ht="12" customHeight="1" x14ac:dyDescent="0.25">
      <c r="A4" s="97" t="s">
        <v>188</v>
      </c>
      <c r="E4" s="80"/>
      <c r="F4" s="83" t="s">
        <v>189</v>
      </c>
      <c r="G4" s="843"/>
      <c r="H4" s="146" t="s">
        <v>23</v>
      </c>
      <c r="I4" s="83" t="s">
        <v>90</v>
      </c>
      <c r="J4" s="81" t="s">
        <v>91</v>
      </c>
      <c r="K4" s="83" t="s">
        <v>92</v>
      </c>
      <c r="L4" s="146" t="s">
        <v>93</v>
      </c>
      <c r="M4" s="83" t="s">
        <v>94</v>
      </c>
      <c r="N4" s="181"/>
      <c r="P4" s="83" t="s">
        <v>189</v>
      </c>
    </row>
    <row r="5" spans="1:17" ht="12" customHeight="1" x14ac:dyDescent="0.25">
      <c r="A5" s="95"/>
      <c r="B5" s="6"/>
      <c r="C5" s="6"/>
      <c r="D5" s="6"/>
      <c r="E5" s="182"/>
      <c r="F5" s="88" t="s">
        <v>190</v>
      </c>
      <c r="G5" s="844"/>
      <c r="H5" s="183" t="s">
        <v>191</v>
      </c>
      <c r="I5" s="88">
        <v>6100</v>
      </c>
      <c r="J5" s="577">
        <v>6200</v>
      </c>
      <c r="K5" s="88" t="s">
        <v>97</v>
      </c>
      <c r="L5" s="578">
        <v>6600</v>
      </c>
      <c r="M5" s="88">
        <v>6800</v>
      </c>
      <c r="N5" s="184" t="s">
        <v>98</v>
      </c>
      <c r="O5" s="185" t="s">
        <v>23</v>
      </c>
      <c r="P5" s="88" t="s">
        <v>190</v>
      </c>
    </row>
    <row r="6" spans="1:17" ht="11.25" customHeight="1" x14ac:dyDescent="0.25">
      <c r="A6" s="89" t="s">
        <v>192</v>
      </c>
      <c r="B6" s="74"/>
      <c r="C6" s="74"/>
      <c r="D6" s="74"/>
      <c r="F6" s="834"/>
      <c r="G6" s="573"/>
      <c r="H6" s="834"/>
      <c r="I6" s="834"/>
      <c r="J6" s="834"/>
      <c r="K6" s="834"/>
      <c r="L6" s="834"/>
      <c r="M6" s="834"/>
      <c r="N6" s="834"/>
      <c r="O6" s="573"/>
      <c r="P6" s="834"/>
    </row>
    <row r="7" spans="1:17" ht="11.25" customHeight="1" x14ac:dyDescent="0.25">
      <c r="A7" s="118" t="s">
        <v>165</v>
      </c>
      <c r="E7" s="186"/>
      <c r="F7" s="835"/>
      <c r="G7" s="649"/>
      <c r="H7" s="835"/>
      <c r="I7" s="835"/>
      <c r="J7" s="835"/>
      <c r="K7" s="835"/>
      <c r="L7" s="835"/>
      <c r="M7" s="835"/>
      <c r="N7" s="835"/>
      <c r="O7" s="574"/>
      <c r="P7" s="835"/>
    </row>
    <row r="8" spans="1:17" ht="12" customHeight="1" x14ac:dyDescent="0.25">
      <c r="A8" s="118"/>
      <c r="B8" t="s">
        <v>193</v>
      </c>
      <c r="E8" s="186">
        <v>1</v>
      </c>
      <c r="F8" s="187"/>
      <c r="G8" s="187"/>
      <c r="H8" s="554">
        <f>-(SUMIFS('Accounting data'!$G$2:$G$37000,'Accounting data'!$H$2:$H$37000,"1071*",'Accounting data'!$K$2:$K$37000,"32*"))</f>
        <v>0</v>
      </c>
      <c r="I8" s="187"/>
      <c r="J8" s="187"/>
      <c r="K8" s="187"/>
      <c r="L8" s="187"/>
      <c r="M8" s="187"/>
      <c r="N8" s="187"/>
      <c r="O8" s="187"/>
      <c r="P8" s="187"/>
      <c r="Q8" s="151">
        <v>1</v>
      </c>
    </row>
    <row r="9" spans="1:17" ht="12" customHeight="1" x14ac:dyDescent="0.25">
      <c r="A9" s="118"/>
      <c r="B9" t="s">
        <v>194</v>
      </c>
      <c r="E9" s="186">
        <v>2</v>
      </c>
      <c r="F9" s="187"/>
      <c r="G9" s="187"/>
      <c r="H9" s="554">
        <f>-(SUMIFS('Accounting data'!$G$2:$G$37000,'Accounting data'!$H$2:$H$37000,"1071*",'Accounting data'!$K$2:$K$37000,"15*"))</f>
        <v>0</v>
      </c>
      <c r="I9" s="187"/>
      <c r="J9" s="187"/>
      <c r="K9" s="187"/>
      <c r="L9" s="187"/>
      <c r="M9" s="187"/>
      <c r="N9" s="187"/>
      <c r="O9" s="187"/>
      <c r="P9" s="187"/>
      <c r="Q9" s="151">
        <v>2</v>
      </c>
    </row>
    <row r="10" spans="1:17" ht="12" customHeight="1" x14ac:dyDescent="0.25">
      <c r="A10" s="91" t="s">
        <v>195</v>
      </c>
      <c r="E10" s="186">
        <v>3</v>
      </c>
      <c r="F10" s="187"/>
      <c r="G10" s="187"/>
      <c r="H10" s="554">
        <f>SUM(H8:H9)</f>
        <v>0</v>
      </c>
      <c r="I10" s="188"/>
      <c r="J10" s="188"/>
      <c r="K10" s="188"/>
      <c r="L10" s="188"/>
      <c r="M10" s="188"/>
      <c r="N10" s="187"/>
      <c r="O10" s="187"/>
      <c r="P10" s="187"/>
      <c r="Q10" s="151">
        <v>3</v>
      </c>
    </row>
    <row r="11" spans="1:17" ht="11.25" customHeight="1" x14ac:dyDescent="0.25">
      <c r="A11" s="118" t="s">
        <v>89</v>
      </c>
      <c r="E11" s="189"/>
      <c r="F11" s="190"/>
      <c r="G11" s="650"/>
      <c r="H11" s="826"/>
      <c r="I11" s="191"/>
      <c r="J11" s="191"/>
      <c r="K11" s="191"/>
      <c r="L11" s="191"/>
      <c r="M11" s="191"/>
      <c r="N11" s="191"/>
      <c r="O11" s="191"/>
      <c r="P11" s="192"/>
    </row>
    <row r="12" spans="1:17" ht="12" customHeight="1" x14ac:dyDescent="0.25">
      <c r="A12" s="91" t="s">
        <v>196</v>
      </c>
      <c r="F12" s="193"/>
      <c r="G12" s="651"/>
      <c r="H12" s="827"/>
      <c r="I12" s="194"/>
      <c r="J12" s="194"/>
      <c r="K12" s="194"/>
      <c r="L12" s="194"/>
      <c r="M12" s="194"/>
      <c r="N12" s="194"/>
      <c r="O12" s="194"/>
      <c r="P12" s="195"/>
    </row>
    <row r="13" spans="1:17" ht="12" customHeight="1" x14ac:dyDescent="0.25">
      <c r="A13" s="91"/>
      <c r="B13" t="s">
        <v>197</v>
      </c>
      <c r="E13" s="189">
        <v>4</v>
      </c>
      <c r="F13" s="196"/>
      <c r="G13" s="652"/>
      <c r="H13" s="836"/>
      <c r="I13" s="559">
        <f>SUMIFS('Accounting data'!$G$2:$G$37000,'Accounting data'!$H$2:$H$37000,"1071*",'Accounting data'!$I$2:$I$37000,"260*",'Accounting data'!$J$2:$J$37000,"1*",'Accounting data'!$K$2:$K$37000,"61*")</f>
        <v>0</v>
      </c>
      <c r="J13" s="559">
        <f>SUMIFS('Accounting data'!$G$2:$G$37000,'Accounting data'!$H$2:$H$37000,"1071*",'Accounting data'!$I$2:$I$37000,"260*",'Accounting data'!$J$2:$J$37000,"1*",'Accounting data'!$K$2:$K$37000,"62*")</f>
        <v>0</v>
      </c>
      <c r="K13" s="559">
        <f>SUMIFS('Accounting data'!$G$2:$G$37000,'Accounting data'!$H$2:$H$37000,"1071*",'Accounting data'!$I$2:$I$37000,"260*",'Accounting data'!$J$2:$J$37000,"1*",'Accounting data'!$K$2:$K$37000,"63*")</f>
        <v>0</v>
      </c>
      <c r="L13" s="559">
        <f>SUMIFS('Accounting data'!$G$2:$G$37000,'Accounting data'!$H$2:$H$37000,"1071*",'Accounting data'!$I$2:$I$37000,"260*",'Accounting data'!$J$2:$J$37000,"1*",'Accounting data'!$K$2:$K$37000,"66*")</f>
        <v>0</v>
      </c>
      <c r="M13" s="559">
        <f>SUMIFS('Accounting data'!$G$2:$G$37000,'Accounting data'!$H$2:$H$37000,"1071*",'Accounting data'!$I$2:$I$37000,"260*",'Accounting data'!$J$2:$J$37000,"1*",'Accounting data'!$K$2:$K$37000,"68*")</f>
        <v>0</v>
      </c>
      <c r="N13" s="559">
        <f>[1]!SEIP1071P260F1000</f>
        <v>0</v>
      </c>
      <c r="O13" s="559">
        <f>SUM(I13:M13)</f>
        <v>0</v>
      </c>
      <c r="P13" s="197"/>
      <c r="Q13" s="151">
        <v>4</v>
      </c>
    </row>
    <row r="14" spans="1:17" ht="12" customHeight="1" x14ac:dyDescent="0.25">
      <c r="A14" s="91"/>
      <c r="B14" t="s">
        <v>198</v>
      </c>
      <c r="F14" s="190"/>
      <c r="G14" s="650"/>
      <c r="H14" s="826"/>
      <c r="I14" s="194"/>
      <c r="J14" s="194"/>
      <c r="K14" s="194"/>
      <c r="L14" s="194"/>
      <c r="M14" s="194"/>
      <c r="N14" s="838">
        <f>[1]!SEIP1071P260F2100</f>
        <v>0</v>
      </c>
      <c r="O14" s="831">
        <f>SUM(I15:M15)</f>
        <v>0</v>
      </c>
      <c r="P14" s="192"/>
    </row>
    <row r="15" spans="1:17" ht="12" customHeight="1" x14ac:dyDescent="0.25">
      <c r="A15" s="91"/>
      <c r="C15" t="s">
        <v>199</v>
      </c>
      <c r="E15" s="186">
        <v>5</v>
      </c>
      <c r="F15" s="196"/>
      <c r="G15" s="652"/>
      <c r="H15" s="836"/>
      <c r="I15" s="559">
        <f>SUMIFS('Accounting data'!$G$2:$G$37000,'Accounting data'!$H$2:$H$37000,"1071*",'Accounting data'!$I$2:$I$37000,"260*",'Accounting data'!$J$2:$J$37000,"21*",'Accounting data'!$K$2:$K$37000,"61*")</f>
        <v>0</v>
      </c>
      <c r="J15" s="559">
        <f>SUMIFS('Accounting data'!$G$2:$G$37000,'Accounting data'!$H$2:$H$37000,"1071*",'Accounting data'!$I$2:$I$37000,"260*",'Accounting data'!$J$2:$J$37000,"21*",'Accounting data'!$K$2:$K$37000,"62*")</f>
        <v>0</v>
      </c>
      <c r="K15" s="559">
        <f>SUMIFS('Accounting data'!$G$2:$G$37000,'Accounting data'!$H$2:$H$37000,"1071*",'Accounting data'!$I$2:$I$37000,"260*",'Accounting data'!$J$2:$J$37000,"21*",'Accounting data'!$K$2:$K$37000,"63*")</f>
        <v>0</v>
      </c>
      <c r="L15" s="559">
        <f>SUMIFS('Accounting data'!$G$2:$G$37000,'Accounting data'!$H$2:$H$37000,"1071*",'Accounting data'!$I$2:$I$37000,"260*",'Accounting data'!$J$2:$J$37000,"21*",'Accounting data'!$K$2:$K$37000,"66*")</f>
        <v>0</v>
      </c>
      <c r="M15" s="559">
        <f>SUMIFS('Accounting data'!$G$2:$G$37000,'Accounting data'!$H$2:$H$37000,"1071*",'Accounting data'!$I$2:$I$37000,"260*",'Accounting data'!$J$2:$J$37000,"21*",'Accounting data'!$K$2:$K$37000,"68*")</f>
        <v>0</v>
      </c>
      <c r="N15" s="839"/>
      <c r="O15" s="832"/>
      <c r="P15" s="197"/>
      <c r="Q15" s="151">
        <v>5</v>
      </c>
    </row>
    <row r="16" spans="1:17" ht="12" customHeight="1" x14ac:dyDescent="0.25">
      <c r="A16" s="91"/>
      <c r="C16" t="s">
        <v>200</v>
      </c>
      <c r="E16" s="189">
        <v>6</v>
      </c>
      <c r="F16" s="198"/>
      <c r="G16" s="653"/>
      <c r="H16" s="199"/>
      <c r="I16" s="559">
        <f>SUMIFS('Accounting data'!$G$2:$G$37000,'Accounting data'!$H$2:$H$37000,"1071*",'Accounting data'!$I$2:$I$37000,"260*",'Accounting data'!$J$2:$J$37000,"22*",'Accounting data'!$K$2:$K$37000,"61*")</f>
        <v>0</v>
      </c>
      <c r="J16" s="559">
        <f>SUMIFS('Accounting data'!$G$2:$G$37000,'Accounting data'!$H$2:$H$37000,"1071*",'Accounting data'!$I$2:$I$37000,"260*",'Accounting data'!$J$2:$J$37000,"22*",'Accounting data'!$K$2:$K$37000,"62*")</f>
        <v>0</v>
      </c>
      <c r="K16" s="559">
        <f>SUMIFS('Accounting data'!$G$2:$G$37000,'Accounting data'!$H$2:$H$37000,"1071*",'Accounting data'!$I$2:$I$37000,"260*",'Accounting data'!$J$2:$J$37000,"22*",'Accounting data'!$K$2:$K$37000,"63*")</f>
        <v>0</v>
      </c>
      <c r="L16" s="559">
        <f>SUMIFS('Accounting data'!$G$2:$G$37000,'Accounting data'!$H$2:$H$37000,"1071*",'Accounting data'!$I$2:$I$37000,"260*",'Accounting data'!$J$2:$J$37000,"22*",'Accounting data'!$K$2:$K$37000,"66*")</f>
        <v>0</v>
      </c>
      <c r="M16" s="559">
        <f>SUMIFS('Accounting data'!$G$2:$G$37000,'Accounting data'!$H$2:$H$37000,"1071*",'Accounting data'!$I$2:$I$37000,"260*",'Accounting data'!$J$2:$J$37000,"22*",'Accounting data'!$K$2:$K$37000,"68*")</f>
        <v>0</v>
      </c>
      <c r="N16" s="552">
        <f>[1]!SEIP1071P260F2200</f>
        <v>0</v>
      </c>
      <c r="O16" s="554">
        <f t="shared" ref="O16:O21" si="0">SUM(I16:M16)</f>
        <v>0</v>
      </c>
      <c r="P16" s="200"/>
      <c r="Q16" s="151">
        <v>6</v>
      </c>
    </row>
    <row r="17" spans="1:17" ht="12" customHeight="1" x14ac:dyDescent="0.25">
      <c r="A17" s="91"/>
      <c r="C17" t="s">
        <v>201</v>
      </c>
      <c r="E17" s="186">
        <v>7</v>
      </c>
      <c r="F17" s="198"/>
      <c r="G17" s="653"/>
      <c r="H17" s="199"/>
      <c r="I17" s="554">
        <f>SUMIFS('Accounting data'!$G$2:$G$37000,'Accounting data'!$H$2:$H$37000,"1071*",'Accounting data'!$I$2:$I$37000,"260*",'Accounting data'!$J$2:$J$37000,"23*",'Accounting data'!$K$2:$K$37000,"61*")</f>
        <v>0</v>
      </c>
      <c r="J17" s="554">
        <f>SUMIFS('Accounting data'!$G$2:$G$37000,'Accounting data'!$H$2:$H$37000,"1071*",'Accounting data'!$I$2:$I$37000,"260*",'Accounting data'!$J$2:$J$37000,"23*",'Accounting data'!$K$2:$K$37000,"62*")</f>
        <v>0</v>
      </c>
      <c r="K17" s="554">
        <f>SUMIFS('Accounting data'!$G$2:$G$37000,'Accounting data'!$H$2:$H$37000,"1071*",'Accounting data'!$I$2:$I$37000,"260*",'Accounting data'!$J$2:$J$37000,"23*",'Accounting data'!$K$2:$K$37000,"63*")</f>
        <v>0</v>
      </c>
      <c r="L17" s="554">
        <f>SUMIFS('Accounting data'!$G$2:$G$37000,'Accounting data'!$H$2:$H$37000,"1071*",'Accounting data'!$I$2:$I$37000,"260*",'Accounting data'!$J$2:$J$37000,"23*",'Accounting data'!$K$2:$K$37000,"66*")</f>
        <v>0</v>
      </c>
      <c r="M17" s="554">
        <f>SUMIFS('Accounting data'!$G$2:$G$37000,'Accounting data'!$H$2:$H$37000,"1071*",'Accounting data'!$I$2:$I$37000,"260*",'Accounting data'!$J$2:$J$37000,"23*",'Accounting data'!$K$2:$K$37000,"68*")</f>
        <v>0</v>
      </c>
      <c r="N17" s="552">
        <f>[1]!SEIP1071P260F2300</f>
        <v>0</v>
      </c>
      <c r="O17" s="554">
        <f t="shared" si="0"/>
        <v>0</v>
      </c>
      <c r="P17" s="200"/>
      <c r="Q17" s="151">
        <v>7</v>
      </c>
    </row>
    <row r="18" spans="1:17" ht="12" customHeight="1" x14ac:dyDescent="0.25">
      <c r="A18" s="91"/>
      <c r="C18" t="s">
        <v>202</v>
      </c>
      <c r="E18" s="186">
        <v>8</v>
      </c>
      <c r="F18" s="198"/>
      <c r="G18" s="653"/>
      <c r="H18" s="199"/>
      <c r="I18" s="554">
        <f>SUMIFS('Accounting data'!$G$2:$G$37000,'Accounting data'!$H$2:$H$37000,"1071*",'Accounting data'!$I$2:$I$37000,"260*",'Accounting data'!$J$2:$J$37000,"24*",'Accounting data'!$K$2:$K$37000,"61*")</f>
        <v>0</v>
      </c>
      <c r="J18" s="554">
        <f>SUMIFS('Accounting data'!$G$2:$G$37000,'Accounting data'!$H$2:$H$37000,"1071*",'Accounting data'!$I$2:$I$37000,"260*",'Accounting data'!$J$2:$J$37000,"24*",'Accounting data'!$K$2:$K$37000,"62*")</f>
        <v>0</v>
      </c>
      <c r="K18" s="554">
        <f>SUMIFS('Accounting data'!$G$2:$G$37000,'Accounting data'!$H$2:$H$37000,"1071*",'Accounting data'!$I$2:$I$37000,"260*",'Accounting data'!$J$2:$J$37000,"24*",'Accounting data'!$K$2:$K$37000,"63*")</f>
        <v>0</v>
      </c>
      <c r="L18" s="554">
        <f>SUMIFS('Accounting data'!$G$2:$G$37000,'Accounting data'!$H$2:$H$37000,"1071*",'Accounting data'!$I$2:$I$37000,"260*",'Accounting data'!$J$2:$J$37000,"24*",'Accounting data'!$K$2:$K$37000,"66*")</f>
        <v>0</v>
      </c>
      <c r="M18" s="554">
        <f>SUMIFS('Accounting data'!$G$2:$G$37000,'Accounting data'!$H$2:$H$37000,"1071*",'Accounting data'!$I$2:$I$37000,"260*",'Accounting data'!$J$2:$J$37000,"24*",'Accounting data'!$K$2:$K$37000,"68*")</f>
        <v>0</v>
      </c>
      <c r="N18" s="552">
        <f>[1]!SEIP1071P260F2400</f>
        <v>0</v>
      </c>
      <c r="O18" s="554">
        <f t="shared" si="0"/>
        <v>0</v>
      </c>
      <c r="P18" s="200"/>
      <c r="Q18" s="151">
        <v>8</v>
      </c>
    </row>
    <row r="19" spans="1:17" ht="12" customHeight="1" x14ac:dyDescent="0.25">
      <c r="A19" s="91"/>
      <c r="C19" t="s">
        <v>203</v>
      </c>
      <c r="E19" s="186">
        <v>9</v>
      </c>
      <c r="F19" s="198"/>
      <c r="G19" s="653"/>
      <c r="H19" s="199"/>
      <c r="I19" s="554">
        <f>SUMIFS('Accounting data'!$G$2:$G$37000,'Accounting data'!$H$2:$H$37000,"1071*",'Accounting data'!$I$2:$I$37000,"260*",'Accounting data'!$J$2:$J$37000,"25*",'Accounting data'!$K$2:$K$37000,"61*")</f>
        <v>0</v>
      </c>
      <c r="J19" s="554">
        <f>SUMIFS('Accounting data'!$G$2:$G$37000,'Accounting data'!$H$2:$H$37000,"1071*",'Accounting data'!$I$2:$I$37000,"260*",'Accounting data'!$J$2:$J$37000,"25*",'Accounting data'!$K$2:$K$37000,"62*")</f>
        <v>0</v>
      </c>
      <c r="K19" s="554">
        <f>SUMIFS('Accounting data'!$G$2:$G$37000,'Accounting data'!$H$2:$H$37000,"1071*",'Accounting data'!$I$2:$I$37000,"260*",'Accounting data'!$J$2:$J$37000,"25*",'Accounting data'!$K$2:$K$37000,"63*")</f>
        <v>0</v>
      </c>
      <c r="L19" s="554">
        <f>SUMIFS('Accounting data'!$G$2:$G$37000,'Accounting data'!$H$2:$H$37000,"1071*",'Accounting data'!$I$2:$I$37000,"260*",'Accounting data'!$J$2:$J$37000,"25*",'Accounting data'!$K$2:$K$37000,"66*")</f>
        <v>0</v>
      </c>
      <c r="M19" s="554">
        <f>SUMIFS('Accounting data'!$G$2:$G$37000,'Accounting data'!$H$2:$H$37000,"1071*",'Accounting data'!$I$2:$I$37000,"260*",'Accounting data'!$J$2:$J$37000,"25*",'Accounting data'!$K$2:$K$37000,"68*")</f>
        <v>0</v>
      </c>
      <c r="N19" s="552">
        <f>[1]!SEIP1071P260F2500</f>
        <v>0</v>
      </c>
      <c r="O19" s="554">
        <f t="shared" si="0"/>
        <v>0</v>
      </c>
      <c r="P19" s="200"/>
      <c r="Q19" s="151">
        <v>9</v>
      </c>
    </row>
    <row r="20" spans="1:17" ht="12" customHeight="1" x14ac:dyDescent="0.25">
      <c r="A20" s="91"/>
      <c r="C20" t="s">
        <v>204</v>
      </c>
      <c r="E20" s="186">
        <v>10</v>
      </c>
      <c r="F20" s="198"/>
      <c r="G20" s="653"/>
      <c r="H20" s="199"/>
      <c r="I20" s="554">
        <f>SUMIFS('Accounting data'!$G$2:$G$37000,'Accounting data'!$H$2:$H$37000,"1071*",'Accounting data'!$I$2:$I$37000,"260*",'Accounting data'!$J$2:$J$37000,"26*",'Accounting data'!$K$2:$K$37000,"61*")</f>
        <v>0</v>
      </c>
      <c r="J20" s="554">
        <f>SUMIFS('Accounting data'!$G$2:$G$37000,'Accounting data'!$H$2:$H$37000,"1071*",'Accounting data'!$I$2:$I$37000,"260*",'Accounting data'!$J$2:$J$37000,"26*",'Accounting data'!$K$2:$K$37000,"62*")</f>
        <v>0</v>
      </c>
      <c r="K20" s="554">
        <f>SUMIFS('Accounting data'!$G$2:$G$37000,'Accounting data'!$H$2:$H$37000,"1071*",'Accounting data'!$I$2:$I$37000,"260*",'Accounting data'!$J$2:$J$37000,"26*",'Accounting data'!$K$2:$K$37000,"63*")</f>
        <v>0</v>
      </c>
      <c r="L20" s="554">
        <f>SUMIFS('Accounting data'!$G$2:$G$37000,'Accounting data'!$H$2:$H$37000,"1071*",'Accounting data'!$I$2:$I$37000,"260*",'Accounting data'!$J$2:$J$37000,"26*",'Accounting data'!$K$2:$K$37000,"66*")</f>
        <v>0</v>
      </c>
      <c r="M20" s="554">
        <f>SUMIFS('Accounting data'!$G$2:$G$37000,'Accounting data'!$H$2:$H$37000,"1071*",'Accounting data'!$I$2:$I$37000,"260*",'Accounting data'!$J$2:$J$37000,"26*",'Accounting data'!$K$2:$K$37000,"68*")</f>
        <v>0</v>
      </c>
      <c r="N20" s="552">
        <f>[1]!SEIP1071P260F2600</f>
        <v>0</v>
      </c>
      <c r="O20" s="554">
        <f t="shared" si="0"/>
        <v>0</v>
      </c>
      <c r="P20" s="200"/>
      <c r="Q20" s="151">
        <v>10</v>
      </c>
    </row>
    <row r="21" spans="1:17" ht="12" customHeight="1" x14ac:dyDescent="0.25">
      <c r="A21" s="91"/>
      <c r="C21" t="s">
        <v>205</v>
      </c>
      <c r="E21" s="186">
        <v>11</v>
      </c>
      <c r="F21" s="198"/>
      <c r="G21" s="653"/>
      <c r="H21" s="199"/>
      <c r="I21" s="554">
        <f>SUMIFS('Accounting data'!$G$2:$G$37000,'Accounting data'!$H$2:$H$37000,"1071*",'Accounting data'!$I$2:$I$37000,"260*",'Accounting data'!$J$2:$J$37000,"29*",'Accounting data'!$K$2:$K$37000,"61*")</f>
        <v>0</v>
      </c>
      <c r="J21" s="554">
        <f>SUMIFS('Accounting data'!$G$2:$G$37000,'Accounting data'!$H$2:$H$37000,"1071*",'Accounting data'!$I$2:$I$37000,"260*",'Accounting data'!$J$2:$J$37000,"29*",'Accounting data'!$K$2:$K$37000,"62*")</f>
        <v>0</v>
      </c>
      <c r="K21" s="554">
        <f>SUMIFS('Accounting data'!$G$2:$G$37000,'Accounting data'!$H$2:$H$37000,"1071*",'Accounting data'!$I$2:$I$37000,"260*",'Accounting data'!$J$2:$J$37000,"29*",'Accounting data'!$K$2:$K$37000,"63*")</f>
        <v>0</v>
      </c>
      <c r="L21" s="554">
        <f>SUMIFS('Accounting data'!$G$2:$G$37000,'Accounting data'!$H$2:$H$37000,"1071*",'Accounting data'!$I$2:$I$37000,"260*",'Accounting data'!$J$2:$J$37000,"29*",'Accounting data'!$K$2:$K$37000,"66*")</f>
        <v>0</v>
      </c>
      <c r="M21" s="554">
        <f>SUMIFS('Accounting data'!$G$2:$G$37000,'Accounting data'!$H$2:$H$37000,"1071*",'Accounting data'!$I$2:$I$37000,"260*",'Accounting data'!$J$2:$J$37000,"29*",'Accounting data'!$K$2:$K$37000,"68*")</f>
        <v>0</v>
      </c>
      <c r="N21" s="552">
        <f>[1]!SEIP1071P260F2900</f>
        <v>0</v>
      </c>
      <c r="O21" s="554">
        <f t="shared" si="0"/>
        <v>0</v>
      </c>
      <c r="P21" s="200"/>
      <c r="Q21" s="151">
        <v>11</v>
      </c>
    </row>
    <row r="22" spans="1:17" ht="12" customHeight="1" x14ac:dyDescent="0.25">
      <c r="A22" s="95"/>
      <c r="B22" s="6" t="s">
        <v>206</v>
      </c>
      <c r="C22" s="6"/>
      <c r="D22" s="6"/>
      <c r="E22" s="182">
        <v>12</v>
      </c>
      <c r="F22" s="198"/>
      <c r="G22" s="654"/>
      <c r="H22" s="201"/>
      <c r="I22" s="554">
        <f>SUM(I13:I21)</f>
        <v>0</v>
      </c>
      <c r="J22" s="554">
        <f t="shared" ref="J22:O22" si="1">SUM(J13:J21)</f>
        <v>0</v>
      </c>
      <c r="K22" s="554">
        <f>SUM(K13:K21)</f>
        <v>0</v>
      </c>
      <c r="L22" s="554">
        <f t="shared" si="1"/>
        <v>0</v>
      </c>
      <c r="M22" s="554">
        <f t="shared" si="1"/>
        <v>0</v>
      </c>
      <c r="N22" s="554">
        <f t="shared" si="1"/>
        <v>0</v>
      </c>
      <c r="O22" s="554">
        <f t="shared" si="1"/>
        <v>0</v>
      </c>
      <c r="P22" s="200"/>
      <c r="Q22" s="202">
        <v>12</v>
      </c>
    </row>
    <row r="23" spans="1:17" ht="12" customHeight="1" x14ac:dyDescent="0.25">
      <c r="A23" s="91" t="s">
        <v>207</v>
      </c>
      <c r="E23" s="186"/>
      <c r="F23" s="190"/>
      <c r="G23" s="650"/>
      <c r="H23" s="826"/>
      <c r="I23" s="85"/>
      <c r="J23" s="85"/>
      <c r="K23" s="85"/>
      <c r="L23" s="85"/>
      <c r="M23" s="85"/>
      <c r="N23" s="85"/>
      <c r="O23" s="85"/>
      <c r="P23" s="192"/>
      <c r="Q23" s="151"/>
    </row>
    <row r="24" spans="1:17" ht="12" customHeight="1" x14ac:dyDescent="0.25">
      <c r="A24" s="91"/>
      <c r="B24" t="s">
        <v>198</v>
      </c>
      <c r="E24" s="186"/>
      <c r="F24" s="193"/>
      <c r="G24" s="651"/>
      <c r="H24" s="827"/>
      <c r="I24" s="597"/>
      <c r="J24" s="597"/>
      <c r="K24" s="597"/>
      <c r="L24" s="597"/>
      <c r="M24" s="597"/>
      <c r="N24" s="597"/>
      <c r="O24" s="194"/>
      <c r="P24" s="195"/>
      <c r="Q24" s="151"/>
    </row>
    <row r="25" spans="1:17" ht="12" customHeight="1" x14ac:dyDescent="0.25">
      <c r="A25" s="91"/>
      <c r="C25" t="s">
        <v>208</v>
      </c>
      <c r="E25" s="186">
        <v>13</v>
      </c>
      <c r="F25" s="196"/>
      <c r="G25" s="652"/>
      <c r="H25" s="836"/>
      <c r="I25" s="597">
        <f>SUMIFS('Accounting data'!$G$2:$G$37000,'Accounting data'!$H$2:$H$37000,"1071*",'Accounting data'!$I$2:$I$37000,"43*",'Accounting data'!$J$2:$J$37000,"27*",'Accounting data'!$K$2:$K$37000,"61*")</f>
        <v>0</v>
      </c>
      <c r="J25" s="597">
        <f>SUMIFS('Accounting data'!$G$2:$G$37000,'Accounting data'!$H$2:$H$37000,"1071*",'Accounting data'!$I$2:$I$37000,"43*",'Accounting data'!$J$2:$J$37000,"27*",'Accounting data'!$K$2:$K$37000,"62*")</f>
        <v>0</v>
      </c>
      <c r="K25" s="597">
        <f>SUMIFS('Accounting data'!$G$2:$G$37000,'Accounting data'!$H$2:$H$37000,"1071*",'Accounting data'!$I$2:$I$37000,"43*",'Accounting data'!$J$2:$J$37000,"27*",'Accounting data'!$K$2:$K$37000,"63*")</f>
        <v>0</v>
      </c>
      <c r="L25" s="597">
        <f>SUMIFS('Accounting data'!$G$2:$G$37000,'Accounting data'!$H$2:$H$37000,"1071*",'Accounting data'!$I$2:$I$37000,"43*",'Accounting data'!$J$2:$J$37000,"27*",'Accounting data'!$K$2:$K$37000,"66*")</f>
        <v>0</v>
      </c>
      <c r="M25" s="597">
        <f>SUMIFS('Accounting data'!$G$2:$G$37000,'Accounting data'!$H$2:$H$37000,"1071*",'Accounting data'!$I$2:$I$37000,"43*",'Accounting data'!$J$2:$J$37000,"27*",'Accounting data'!$K$2:$K$37000,"68*")</f>
        <v>0</v>
      </c>
      <c r="N25" s="597">
        <f>[1]!SEIP1071P430F2700</f>
        <v>0</v>
      </c>
      <c r="O25" s="559">
        <f>SUM(I25:M25)</f>
        <v>0</v>
      </c>
      <c r="P25" s="197"/>
      <c r="Q25" s="202">
        <v>13</v>
      </c>
    </row>
    <row r="26" spans="1:17" ht="12" customHeight="1" x14ac:dyDescent="0.25">
      <c r="A26" s="101" t="s">
        <v>209</v>
      </c>
      <c r="B26" s="102"/>
      <c r="C26" s="102"/>
      <c r="D26" s="102"/>
      <c r="E26" s="203">
        <v>14</v>
      </c>
      <c r="F26" s="552">
        <f>[2]!SEIP1071EndBal</f>
        <v>0</v>
      </c>
      <c r="G26" s="56"/>
      <c r="H26" s="554">
        <f>H10</f>
        <v>0</v>
      </c>
      <c r="I26" s="554">
        <f>SUM(I22:I24)</f>
        <v>0</v>
      </c>
      <c r="J26" s="554">
        <f>SUM(J22:J24)</f>
        <v>0</v>
      </c>
      <c r="K26" s="554">
        <f>SUM(K22:K24)</f>
        <v>0</v>
      </c>
      <c r="L26" s="554">
        <f>SUM(L22:L24)</f>
        <v>0</v>
      </c>
      <c r="M26" s="554">
        <f>SUM(M22:M24)</f>
        <v>0</v>
      </c>
      <c r="N26" s="554">
        <f>SUM(N22:N25)</f>
        <v>0</v>
      </c>
      <c r="O26" s="554">
        <f>SUM(O22:O25)</f>
        <v>0</v>
      </c>
      <c r="P26" s="554">
        <f>IF(G26="",F26,G26)+H26-O26</f>
        <v>0</v>
      </c>
      <c r="Q26" s="202">
        <v>14</v>
      </c>
    </row>
    <row r="27" spans="1:17" ht="9" customHeight="1" x14ac:dyDescent="0.25">
      <c r="A27" s="840"/>
      <c r="B27" s="840"/>
      <c r="C27" s="840"/>
      <c r="D27" s="840"/>
      <c r="E27" s="840"/>
      <c r="F27" s="840"/>
      <c r="G27" s="840"/>
      <c r="H27" s="840"/>
      <c r="I27" s="840"/>
      <c r="J27" s="840"/>
      <c r="K27" s="841"/>
      <c r="L27" s="841"/>
      <c r="M27" s="841"/>
    </row>
    <row r="28" spans="1:17" ht="11.25" customHeight="1" x14ac:dyDescent="0.25">
      <c r="A28" s="89" t="s">
        <v>210</v>
      </c>
      <c r="B28" s="74"/>
      <c r="C28" s="74"/>
      <c r="D28" s="74"/>
      <c r="E28" s="204"/>
      <c r="F28" s="829"/>
      <c r="G28" s="646"/>
      <c r="H28" s="829"/>
      <c r="I28" s="829"/>
      <c r="J28" s="829"/>
      <c r="K28" s="829"/>
      <c r="L28" s="829"/>
      <c r="M28" s="828"/>
      <c r="N28" s="828"/>
      <c r="O28" s="828"/>
      <c r="P28" s="829"/>
    </row>
    <row r="29" spans="1:17" ht="11.25" customHeight="1" x14ac:dyDescent="0.25">
      <c r="A29" s="118" t="s">
        <v>165</v>
      </c>
      <c r="E29" s="186"/>
      <c r="F29" s="830"/>
      <c r="G29" s="647"/>
      <c r="H29" s="833"/>
      <c r="I29" s="833"/>
      <c r="J29" s="833"/>
      <c r="K29" s="833"/>
      <c r="L29" s="833"/>
      <c r="M29" s="828"/>
      <c r="N29" s="828"/>
      <c r="O29" s="828"/>
      <c r="P29" s="830"/>
    </row>
    <row r="30" spans="1:17" ht="12" customHeight="1" x14ac:dyDescent="0.25">
      <c r="A30" s="118"/>
      <c r="B30" t="s">
        <v>193</v>
      </c>
      <c r="E30" s="186">
        <v>15</v>
      </c>
      <c r="F30" s="187"/>
      <c r="G30" s="187"/>
      <c r="H30" s="554">
        <f>-(SUMIFS('Accounting data'!$G$2:$G$37000,'Accounting data'!$H$2:$H$37000,"1072*",'Accounting data'!$K$2:$K$37000,"32*"))</f>
        <v>0</v>
      </c>
      <c r="I30" s="187"/>
      <c r="J30" s="187"/>
      <c r="K30" s="187"/>
      <c r="L30" s="187"/>
      <c r="M30" s="205"/>
      <c r="N30" s="187"/>
      <c r="O30" s="187"/>
      <c r="P30" s="187"/>
      <c r="Q30" s="202">
        <v>15</v>
      </c>
    </row>
    <row r="31" spans="1:17" ht="12" customHeight="1" x14ac:dyDescent="0.25">
      <c r="A31" s="118"/>
      <c r="B31" t="s">
        <v>194</v>
      </c>
      <c r="E31" s="186">
        <v>16</v>
      </c>
      <c r="F31" s="187"/>
      <c r="G31" s="187"/>
      <c r="H31" s="554">
        <f>-(SUMIFS('Accounting data'!$G$2:$G$37000,'Accounting data'!$H$2:$H$37000,"1072*",'Accounting data'!$K$2:$K$37000,"15*"))</f>
        <v>0</v>
      </c>
      <c r="I31" s="187"/>
      <c r="J31" s="187"/>
      <c r="K31" s="187"/>
      <c r="L31" s="187"/>
      <c r="M31" s="187"/>
      <c r="N31" s="187"/>
      <c r="O31" s="187"/>
      <c r="P31" s="187"/>
      <c r="Q31" s="202">
        <v>16</v>
      </c>
    </row>
    <row r="32" spans="1:17" ht="12" customHeight="1" x14ac:dyDescent="0.25">
      <c r="A32" s="91" t="s">
        <v>211</v>
      </c>
      <c r="E32" s="186">
        <v>17</v>
      </c>
      <c r="F32" s="188"/>
      <c r="G32" s="188"/>
      <c r="H32" s="554">
        <f>SUM(H30:H31)</f>
        <v>0</v>
      </c>
      <c r="I32" s="188"/>
      <c r="J32" s="188"/>
      <c r="K32" s="188"/>
      <c r="L32" s="188"/>
      <c r="M32" s="188"/>
      <c r="N32" s="188"/>
      <c r="O32" s="188"/>
      <c r="P32" s="188"/>
      <c r="Q32" s="202">
        <v>17</v>
      </c>
    </row>
    <row r="33" spans="1:17" ht="11.25" customHeight="1" x14ac:dyDescent="0.25">
      <c r="A33" s="118" t="s">
        <v>89</v>
      </c>
      <c r="E33" s="189"/>
      <c r="F33" s="190"/>
      <c r="G33" s="650"/>
      <c r="H33" s="206"/>
      <c r="I33" s="148"/>
      <c r="J33" s="148"/>
      <c r="K33" s="148"/>
      <c r="L33" s="148"/>
      <c r="M33" s="148"/>
      <c r="N33" s="148"/>
      <c r="O33" s="148"/>
      <c r="P33" s="190"/>
    </row>
    <row r="34" spans="1:17" ht="12" customHeight="1" x14ac:dyDescent="0.25">
      <c r="A34" s="91" t="s">
        <v>212</v>
      </c>
      <c r="E34" s="189"/>
      <c r="F34" s="193"/>
      <c r="G34" s="651"/>
      <c r="H34" s="207"/>
      <c r="I34" s="194"/>
      <c r="J34" s="194"/>
      <c r="K34" s="194"/>
      <c r="L34" s="194"/>
      <c r="M34" s="194"/>
      <c r="N34" s="194"/>
      <c r="O34" s="194"/>
      <c r="P34" s="193"/>
    </row>
    <row r="35" spans="1:17" ht="12" customHeight="1" x14ac:dyDescent="0.25">
      <c r="A35" s="91"/>
      <c r="B35" t="s">
        <v>197</v>
      </c>
      <c r="E35" s="189">
        <v>18</v>
      </c>
      <c r="F35" s="196"/>
      <c r="G35" s="652"/>
      <c r="H35" s="208"/>
      <c r="I35" s="559">
        <f>SUMIFS('Accounting data'!$G$2:$G$37000,'Accounting data'!$H$2:$H$37000,"1072*",'Accounting data'!$I$2:$I$37000,"265*",'Accounting data'!$J$2:$J$37000,"1*",'Accounting data'!$K$2:$K$37000,"61*")</f>
        <v>0</v>
      </c>
      <c r="J35" s="559">
        <f>SUMIFS('Accounting data'!$G$2:$G$37000,'Accounting data'!$H$2:$H$37000,"1072*",'Accounting data'!$I$2:$I$37000,"265*",'Accounting data'!$J$2:$J$37000,"1*",'Accounting data'!$K$2:$K$37000,"62*")</f>
        <v>0</v>
      </c>
      <c r="K35" s="559">
        <f>SUMIFS('Accounting data'!$G$2:$G$37000,'Accounting data'!$H$2:$H$37000,"1072*",'Accounting data'!$I$2:$I$37000,"265*",'Accounting data'!$J$2:$J$37000,"1*",'Accounting data'!$K$2:$K$37000,"63*")</f>
        <v>0</v>
      </c>
      <c r="L35" s="559">
        <f>SUMIFS('Accounting data'!$G$2:$G$37000,'Accounting data'!$H$2:$H$37000,"1072*",'Accounting data'!$I$2:$I$37000,"265*",'Accounting data'!$J$2:$J$37000,"1*",'Accounting data'!$K$2:$K$37000,"66*")</f>
        <v>0</v>
      </c>
      <c r="M35" s="559">
        <f>SUMIFS('Accounting data'!$G$2:$G$37000,'Accounting data'!$H$2:$H$37000,"1072*",'Accounting data'!$I$2:$I$37000,"265*",'Accounting data'!$J$2:$J$37000,"1*",'Accounting data'!$K$2:$K$37000,"68*")</f>
        <v>0</v>
      </c>
      <c r="N35" s="559">
        <f>[1]!CIP1072P265F1000</f>
        <v>0</v>
      </c>
      <c r="O35" s="559">
        <f>SUM(I35:M35)</f>
        <v>0</v>
      </c>
      <c r="P35" s="196"/>
      <c r="Q35" s="202">
        <v>18</v>
      </c>
    </row>
    <row r="36" spans="1:17" ht="12" customHeight="1" x14ac:dyDescent="0.25">
      <c r="A36" s="91"/>
      <c r="B36" t="s">
        <v>198</v>
      </c>
      <c r="E36" s="186"/>
      <c r="F36" s="190"/>
      <c r="G36" s="651"/>
      <c r="H36" s="827"/>
      <c r="I36" s="191"/>
      <c r="J36" s="191"/>
      <c r="K36" s="191"/>
      <c r="L36" s="191"/>
      <c r="M36" s="191"/>
      <c r="N36" s="191"/>
      <c r="O36" s="191"/>
      <c r="P36" s="190"/>
      <c r="Q36" s="202"/>
    </row>
    <row r="37" spans="1:17" ht="12" customHeight="1" x14ac:dyDescent="0.25">
      <c r="A37" s="91"/>
      <c r="C37" t="s">
        <v>199</v>
      </c>
      <c r="E37" s="186">
        <v>19</v>
      </c>
      <c r="F37" s="196"/>
      <c r="G37" s="651"/>
      <c r="H37" s="827"/>
      <c r="I37" s="559">
        <f>SUMIFS('Accounting data'!$G$2:$G$37000,'Accounting data'!$H$2:$H$37000,"1072*",'Accounting data'!$I$2:$I$37000,"265*",'Accounting data'!$J$2:$J$37000,"21*",'Accounting data'!$K$2:$K$37000,"61*")</f>
        <v>0</v>
      </c>
      <c r="J37" s="559">
        <f>SUMIFS('Accounting data'!$G$2:$G$37000,'Accounting data'!$H$2:$H$37000,"1072*",'Accounting data'!$I$2:$I$37000,"265*",'Accounting data'!$J$2:$J$37000,"21*",'Accounting data'!$K$2:$K$37000,"62*")</f>
        <v>0</v>
      </c>
      <c r="K37" s="559">
        <f>SUMIFS('Accounting data'!$G$2:$G$37000,'Accounting data'!$H$2:$H$37000,"1072*",'Accounting data'!$I$2:$I$37000,"265*",'Accounting data'!$J$2:$J$37000,"21*",'Accounting data'!$K$2:$K$37000,"63*")</f>
        <v>0</v>
      </c>
      <c r="L37" s="559">
        <f>SUMIFS('Accounting data'!$G$2:$G$37000,'Accounting data'!$H$2:$H$37000,"1072*",'Accounting data'!$I$2:$I$37000,"265*",'Accounting data'!$J$2:$J$37000,"21*",'Accounting data'!$K$2:$K$37000,"66*")</f>
        <v>0</v>
      </c>
      <c r="M37" s="559">
        <f>SUMIFS('Accounting data'!$G$2:$G$37000,'Accounting data'!$H$2:$H$37000,"1072*",'Accounting data'!$I$2:$I$37000,"265*",'Accounting data'!$J$2:$J$37000,"21*",'Accounting data'!$K$2:$K$37000,"68*")</f>
        <v>0</v>
      </c>
      <c r="N37" s="559">
        <f>[1]!CIP1072P265F2100</f>
        <v>0</v>
      </c>
      <c r="O37" s="559">
        <f>SUM(I37:M37)</f>
        <v>0</v>
      </c>
      <c r="P37" s="196"/>
      <c r="Q37" s="202">
        <v>19</v>
      </c>
    </row>
    <row r="38" spans="1:17" ht="12" customHeight="1" x14ac:dyDescent="0.25">
      <c r="A38" s="91"/>
      <c r="C38" t="s">
        <v>200</v>
      </c>
      <c r="E38" s="186">
        <v>20</v>
      </c>
      <c r="F38" s="198"/>
      <c r="G38" s="653"/>
      <c r="H38" s="199"/>
      <c r="I38" s="554">
        <f>SUMIFS('Accounting data'!$G$2:$G$37000,'Accounting data'!$H$2:$H$37000,"1072*",'Accounting data'!$I$2:$I$37000,"265*",'Accounting data'!$J$2:$J$37000,"22*",'Accounting data'!$K$2:$K$37000,"61*")</f>
        <v>0</v>
      </c>
      <c r="J38" s="554">
        <f>SUMIFS('Accounting data'!$G$2:$G$37000,'Accounting data'!$H$2:$H$37000,"1072*",'Accounting data'!$I$2:$I$37000,"265*",'Accounting data'!$J$2:$J$37000,"22*",'Accounting data'!$K$2:$K$37000,"62*")</f>
        <v>0</v>
      </c>
      <c r="K38" s="554">
        <f>SUMIFS('Accounting data'!$G$2:$G$37000,'Accounting data'!$H$2:$H$37000,"1072*",'Accounting data'!$I$2:$I$37000,"265*",'Accounting data'!$J$2:$J$37000,"22*",'Accounting data'!$K$2:$K$37000,"63*")</f>
        <v>0</v>
      </c>
      <c r="L38" s="554">
        <f>SUMIFS('Accounting data'!$G$2:$G$37000,'Accounting data'!$H$2:$H$37000,"1072*",'Accounting data'!$I$2:$I$37000,"265*",'Accounting data'!$J$2:$J$37000,"22*",'Accounting data'!$K$2:$K$37000,"66*")</f>
        <v>0</v>
      </c>
      <c r="M38" s="554">
        <f>SUMIFS('Accounting data'!$G$2:$G$37000,'Accounting data'!$H$2:$H$37000,"1072*",'Accounting data'!$I$2:$I$37000,"265*",'Accounting data'!$J$2:$J$37000,"22*",'Accounting data'!$K$2:$K$37000,"68*")</f>
        <v>0</v>
      </c>
      <c r="N38" s="552">
        <f>[1]!CIP1072P265F2200</f>
        <v>0</v>
      </c>
      <c r="O38" s="554">
        <f t="shared" ref="O38:O43" si="2">SUM(I38:M38)</f>
        <v>0</v>
      </c>
      <c r="P38" s="198"/>
      <c r="Q38" s="202">
        <v>20</v>
      </c>
    </row>
    <row r="39" spans="1:17" ht="12" customHeight="1" x14ac:dyDescent="0.25">
      <c r="A39" s="91"/>
      <c r="C39" t="s">
        <v>201</v>
      </c>
      <c r="E39" s="186">
        <v>21</v>
      </c>
      <c r="F39" s="198"/>
      <c r="G39" s="653"/>
      <c r="H39" s="199"/>
      <c r="I39" s="554">
        <f>SUMIFS('Accounting data'!$G$2:$G$37000,'Accounting data'!$H$2:$H$37000,"1072*",'Accounting data'!$I$2:$I$37000,"265*",'Accounting data'!$J$2:$J$37000,"23*",'Accounting data'!$K$2:$K$37000,"61*")</f>
        <v>0</v>
      </c>
      <c r="J39" s="554">
        <f>SUMIFS('Accounting data'!$G$2:$G$37000,'Accounting data'!$H$2:$H$37000,"1072*",'Accounting data'!$I$2:$I$37000,"265*",'Accounting data'!$J$2:$J$37000,"23*",'Accounting data'!$K$2:$K$37000,"62*")</f>
        <v>0</v>
      </c>
      <c r="K39" s="554">
        <f>SUMIFS('Accounting data'!$G$2:$G$37000,'Accounting data'!$H$2:$H$37000,"1072*",'Accounting data'!$I$2:$I$37000,"265*",'Accounting data'!$J$2:$J$37000,"23*",'Accounting data'!$K$2:$K$37000,"63*")</f>
        <v>0</v>
      </c>
      <c r="L39" s="554">
        <f>SUMIFS('Accounting data'!$G$2:$G$37000,'Accounting data'!$H$2:$H$37000,"1072*",'Accounting data'!$I$2:$I$37000,"265*",'Accounting data'!$J$2:$J$37000,"23*",'Accounting data'!$K$2:$K$37000,"66*")</f>
        <v>0</v>
      </c>
      <c r="M39" s="554">
        <f>SUMIFS('Accounting data'!$G$2:$G$37000,'Accounting data'!$H$2:$H$37000,"1072*",'Accounting data'!$I$2:$I$37000,"265*",'Accounting data'!$J$2:$J$37000,"23*",'Accounting data'!$K$2:$K$37000,"68*")</f>
        <v>0</v>
      </c>
      <c r="N39" s="552">
        <f>[1]!CIP1072P265F2300</f>
        <v>0</v>
      </c>
      <c r="O39" s="554">
        <f t="shared" si="2"/>
        <v>0</v>
      </c>
      <c r="P39" s="198"/>
      <c r="Q39" s="202">
        <v>21</v>
      </c>
    </row>
    <row r="40" spans="1:17" ht="12" customHeight="1" x14ac:dyDescent="0.25">
      <c r="A40" s="91"/>
      <c r="C40" t="s">
        <v>202</v>
      </c>
      <c r="E40" s="186">
        <v>22</v>
      </c>
      <c r="F40" s="198"/>
      <c r="G40" s="653"/>
      <c r="H40" s="199"/>
      <c r="I40" s="554">
        <f>SUMIFS('Accounting data'!$G$2:$G$37000,'Accounting data'!$H$2:$H$37000,"1072*",'Accounting data'!$I$2:$I$37000,"265*",'Accounting data'!$J$2:$J$37000,"24*",'Accounting data'!$K$2:$K$37000,"61*")</f>
        <v>0</v>
      </c>
      <c r="J40" s="554">
        <f>SUMIFS('Accounting data'!$G$2:$G$37000,'Accounting data'!$H$2:$H$37000,"1072*",'Accounting data'!$I$2:$I$37000,"265*",'Accounting data'!$J$2:$J$37000,"24*",'Accounting data'!$K$2:$K$37000,"62*")</f>
        <v>0</v>
      </c>
      <c r="K40" s="554">
        <f>SUMIFS('Accounting data'!$G$2:$G$37000,'Accounting data'!$H$2:$H$37000,"1072*",'Accounting data'!$I$2:$I$37000,"265*",'Accounting data'!$J$2:$J$37000,"24*",'Accounting data'!$K$2:$K$37000,"63*")</f>
        <v>0</v>
      </c>
      <c r="L40" s="554">
        <f>SUMIFS('Accounting data'!$G$2:$G$37000,'Accounting data'!$H$2:$H$37000,"1072*",'Accounting data'!$I$2:$I$37000,"265*",'Accounting data'!$J$2:$J$37000,"24*",'Accounting data'!$K$2:$K$37000,"66*")</f>
        <v>0</v>
      </c>
      <c r="M40" s="554">
        <f>SUMIFS('Accounting data'!$G$2:$G$37000,'Accounting data'!$H$2:$H$37000,"1072*",'Accounting data'!$I$2:$I$37000,"265*",'Accounting data'!$J$2:$J$37000,"24*",'Accounting data'!$K$2:$K$37000,"68*")</f>
        <v>0</v>
      </c>
      <c r="N40" s="552">
        <f>[1]!CIP1072P265F2400</f>
        <v>0</v>
      </c>
      <c r="O40" s="554">
        <f t="shared" si="2"/>
        <v>0</v>
      </c>
      <c r="P40" s="198"/>
      <c r="Q40" s="202">
        <v>22</v>
      </c>
    </row>
    <row r="41" spans="1:17" ht="12" customHeight="1" x14ac:dyDescent="0.25">
      <c r="A41" s="91"/>
      <c r="C41" t="s">
        <v>203</v>
      </c>
      <c r="E41" s="186">
        <v>23</v>
      </c>
      <c r="F41" s="198"/>
      <c r="G41" s="653"/>
      <c r="H41" s="199"/>
      <c r="I41" s="554">
        <f>SUMIFS('Accounting data'!$G$2:$G$37000,'Accounting data'!$H$2:$H$37000,"1072*",'Accounting data'!$I$2:$I$37000,"265*",'Accounting data'!$J$2:$J$37000,"25*",'Accounting data'!$K$2:$K$37000,"61*")</f>
        <v>0</v>
      </c>
      <c r="J41" s="554">
        <f>SUMIFS('Accounting data'!$G$2:$G$37000,'Accounting data'!$H$2:$H$37000,"1072*",'Accounting data'!$I$2:$I$37000,"265*",'Accounting data'!$J$2:$J$37000,"25*",'Accounting data'!$K$2:$K$37000,"62*")</f>
        <v>0</v>
      </c>
      <c r="K41" s="554">
        <f>SUMIFS('Accounting data'!$G$2:$G$37000,'Accounting data'!$H$2:$H$37000,"1072*",'Accounting data'!$I$2:$I$37000,"265*",'Accounting data'!$J$2:$J$37000,"25*",'Accounting data'!$K$2:$K$37000,"63*")</f>
        <v>0</v>
      </c>
      <c r="L41" s="554">
        <f>SUMIFS('Accounting data'!$G$2:$G$37000,'Accounting data'!$H$2:$H$37000,"1072*",'Accounting data'!$I$2:$I$37000,"265*",'Accounting data'!$J$2:$J$37000,"25*",'Accounting data'!$K$2:$K$37000,"66*")</f>
        <v>0</v>
      </c>
      <c r="M41" s="554">
        <f>SUMIFS('Accounting data'!$G$2:$G$37000,'Accounting data'!$H$2:$H$37000,"1072*",'Accounting data'!$I$2:$I$37000,"265*",'Accounting data'!$J$2:$J$37000,"25*",'Accounting data'!$K$2:$K$37000,"68*")</f>
        <v>0</v>
      </c>
      <c r="N41" s="552">
        <f>[1]!CIP1072P265F2500</f>
        <v>0</v>
      </c>
      <c r="O41" s="554">
        <f t="shared" si="2"/>
        <v>0</v>
      </c>
      <c r="P41" s="198"/>
      <c r="Q41" s="202">
        <v>23</v>
      </c>
    </row>
    <row r="42" spans="1:17" ht="12" customHeight="1" x14ac:dyDescent="0.25">
      <c r="A42" s="91"/>
      <c r="C42" t="s">
        <v>204</v>
      </c>
      <c r="E42" s="186">
        <v>24</v>
      </c>
      <c r="F42" s="198"/>
      <c r="G42" s="653"/>
      <c r="H42" s="199"/>
      <c r="I42" s="554">
        <f>SUMIFS('Accounting data'!$G$2:$G$37000,'Accounting data'!$H$2:$H$37000,"1072*",'Accounting data'!$I$2:$I$37000,"265*",'Accounting data'!$J$2:$J$37000,"26*",'Accounting data'!$K$2:$K$37000,"61*")</f>
        <v>0</v>
      </c>
      <c r="J42" s="554">
        <f>SUMIFS('Accounting data'!$G$2:$G$37000,'Accounting data'!$H$2:$H$37000,"1072*",'Accounting data'!$I$2:$I$37000,"265*",'Accounting data'!$J$2:$J$37000,"26*",'Accounting data'!$K$2:$K$37000,"62*")</f>
        <v>0</v>
      </c>
      <c r="K42" s="554">
        <f>SUMIFS('Accounting data'!$G$2:$G$37000,'Accounting data'!$H$2:$H$37000,"1072*",'Accounting data'!$I$2:$I$37000,"265*",'Accounting data'!$J$2:$J$37000,"26*",'Accounting data'!$K$2:$K$37000,"63*")</f>
        <v>0</v>
      </c>
      <c r="L42" s="554">
        <f>SUMIFS('Accounting data'!$G$2:$G$37000,'Accounting data'!$H$2:$H$37000,"1072*",'Accounting data'!$I$2:$I$37000,"265*",'Accounting data'!$J$2:$J$37000,"26*",'Accounting data'!$K$2:$K$37000,"66*")</f>
        <v>0</v>
      </c>
      <c r="M42" s="554">
        <f>SUMIFS('Accounting data'!$G$2:$G$37000,'Accounting data'!$H$2:$H$37000,"1072*",'Accounting data'!$I$2:$I$37000,"265*",'Accounting data'!$J$2:$J$37000,"26*",'Accounting data'!$K$2:$K$37000,"68*")</f>
        <v>0</v>
      </c>
      <c r="N42" s="552">
        <f>[1]!CIP1072P265F2600</f>
        <v>0</v>
      </c>
      <c r="O42" s="554">
        <f t="shared" si="2"/>
        <v>0</v>
      </c>
      <c r="P42" s="198"/>
      <c r="Q42" s="202">
        <v>24</v>
      </c>
    </row>
    <row r="43" spans="1:17" ht="12" customHeight="1" x14ac:dyDescent="0.25">
      <c r="A43" s="91"/>
      <c r="C43" t="s">
        <v>205</v>
      </c>
      <c r="E43" s="186">
        <v>25</v>
      </c>
      <c r="F43" s="198"/>
      <c r="G43" s="653"/>
      <c r="H43" s="199"/>
      <c r="I43" s="554">
        <f>SUMIFS('Accounting data'!$G$2:$G$37000,'Accounting data'!$H$2:$H$37000,"1072*",'Accounting data'!$I$2:$I$37000,"265*",'Accounting data'!$J$2:$J$37000,"29*",'Accounting data'!$K$2:$K$37000,"61*")</f>
        <v>0</v>
      </c>
      <c r="J43" s="554">
        <f>SUMIFS('Accounting data'!$G$2:$G$37000,'Accounting data'!$H$2:$H$37000,"1072*",'Accounting data'!$I$2:$I$37000,"265*",'Accounting data'!$J$2:$J$37000,"29*",'Accounting data'!$K$2:$K$37000,"62*")</f>
        <v>0</v>
      </c>
      <c r="K43" s="554">
        <f>SUMIFS('Accounting data'!$G$2:$G$37000,'Accounting data'!$H$2:$H$37000,"1072*",'Accounting data'!$I$2:$I$37000,"265*",'Accounting data'!$J$2:$J$37000,"29*",'Accounting data'!$K$2:$K$37000,"63*")</f>
        <v>0</v>
      </c>
      <c r="L43" s="554">
        <f>SUMIFS('Accounting data'!$G$2:$G$37000,'Accounting data'!$H$2:$H$37000,"1072*",'Accounting data'!$I$2:$I$37000,"265*",'Accounting data'!$J$2:$J$37000,"29*",'Accounting data'!$K$2:$K$37000,"66*")</f>
        <v>0</v>
      </c>
      <c r="M43" s="554">
        <f>SUMIFS('Accounting data'!$G$2:$G$37000,'Accounting data'!$H$2:$H$37000,"1072*",'Accounting data'!$I$2:$I$37000,"265*",'Accounting data'!$J$2:$J$37000,"29*",'Accounting data'!$K$2:$K$37000,"68*")</f>
        <v>0</v>
      </c>
      <c r="N43" s="552">
        <f>[1]!CIP1072P265F2900</f>
        <v>0</v>
      </c>
      <c r="O43" s="554">
        <f t="shared" si="2"/>
        <v>0</v>
      </c>
      <c r="P43" s="198"/>
      <c r="Q43" s="202">
        <v>25</v>
      </c>
    </row>
    <row r="44" spans="1:17" ht="12" customHeight="1" x14ac:dyDescent="0.25">
      <c r="A44" s="95"/>
      <c r="B44" s="6" t="s">
        <v>213</v>
      </c>
      <c r="C44" s="6"/>
      <c r="D44" s="6"/>
      <c r="E44" s="182">
        <v>26</v>
      </c>
      <c r="F44" s="198"/>
      <c r="G44" s="653"/>
      <c r="H44" s="199"/>
      <c r="I44" s="209">
        <f>SUM(I35:I43)</f>
        <v>0</v>
      </c>
      <c r="J44" s="209">
        <f t="shared" ref="J44:M44" si="3">SUM(J35:J43)</f>
        <v>0</v>
      </c>
      <c r="K44" s="209">
        <f>SUM(K35:K43)</f>
        <v>0</v>
      </c>
      <c r="L44" s="209">
        <f>SUM(L35:L43)</f>
        <v>0</v>
      </c>
      <c r="M44" s="209">
        <f t="shared" si="3"/>
        <v>0</v>
      </c>
      <c r="N44" s="209">
        <f>SUM(N35:N43)</f>
        <v>0</v>
      </c>
      <c r="O44" s="209">
        <f>SUM(O35:O43)</f>
        <v>0</v>
      </c>
      <c r="P44" s="198"/>
      <c r="Q44" s="202">
        <v>26</v>
      </c>
    </row>
    <row r="45" spans="1:17" ht="12" customHeight="1" x14ac:dyDescent="0.25">
      <c r="A45" s="91" t="s">
        <v>214</v>
      </c>
      <c r="E45" s="186"/>
      <c r="F45" s="190"/>
      <c r="G45" s="650"/>
      <c r="H45" s="826"/>
      <c r="I45" s="148"/>
      <c r="J45" s="148"/>
      <c r="K45" s="148"/>
      <c r="L45" s="148"/>
      <c r="M45" s="148"/>
      <c r="N45" s="148"/>
      <c r="O45" s="148"/>
      <c r="P45" s="190"/>
      <c r="Q45" s="202"/>
    </row>
    <row r="46" spans="1:17" ht="12" customHeight="1" x14ac:dyDescent="0.25">
      <c r="A46" s="91"/>
      <c r="B46" t="s">
        <v>198</v>
      </c>
      <c r="E46" s="186"/>
      <c r="F46" s="193"/>
      <c r="G46" s="651"/>
      <c r="H46" s="827"/>
      <c r="I46" s="194"/>
      <c r="J46" s="194"/>
      <c r="K46" s="194"/>
      <c r="L46" s="194"/>
      <c r="M46" s="194"/>
      <c r="N46" s="194"/>
      <c r="O46" s="194"/>
      <c r="P46" s="193"/>
      <c r="Q46" s="202"/>
    </row>
    <row r="47" spans="1:17" ht="12" customHeight="1" x14ac:dyDescent="0.25">
      <c r="A47" s="91"/>
      <c r="C47" t="s">
        <v>208</v>
      </c>
      <c r="E47" s="186">
        <v>27</v>
      </c>
      <c r="F47" s="193"/>
      <c r="G47" s="651"/>
      <c r="H47" s="827"/>
      <c r="I47" s="559">
        <f>SUMIFS('Accounting data'!$G$2:$G$37000,'Accounting data'!$H$2:$H$37000,"1072*",'Accounting data'!$I$2:$I$37000,"435*",'Accounting data'!$J$2:$J$37000,"27*",'Accounting data'!$K$2:$K$37000,"61*")</f>
        <v>0</v>
      </c>
      <c r="J47" s="559">
        <f>SUMIFS('Accounting data'!$G$2:$G$37000,'Accounting data'!$H$2:$H$37000,"1072*",'Accounting data'!$I$2:$I$37000,"435*",'Accounting data'!$J$2:$J$37000,"27*",'Accounting data'!$K$2:$K$37000,"62*")</f>
        <v>0</v>
      </c>
      <c r="K47" s="559">
        <f>SUMIFS('Accounting data'!$G$2:$G$37000,'Accounting data'!$H$2:$H$37000,"1072*",'Accounting data'!$I$2:$I$37000,"435*",'Accounting data'!$J$2:$J$37000,"27*",'Accounting data'!$K$2:$K$37000,"63*")</f>
        <v>0</v>
      </c>
      <c r="L47" s="559">
        <f>SUMIFS('Accounting data'!$G$2:$G$37000,'Accounting data'!$H$2:$H$37000,"1072*",'Accounting data'!$I$2:$I$37000,"435*",'Accounting data'!$J$2:$J$37000,"27*",'Accounting data'!$K$2:$K$37000,"66*")</f>
        <v>0</v>
      </c>
      <c r="M47" s="559">
        <f>SUMIFS('Accounting data'!$G$2:$G$37000,'Accounting data'!$H$2:$H$37000,"1072*",'Accounting data'!$I$2:$I$37000,"435*",'Accounting data'!$J$2:$J$37000,"27*",'Accounting data'!$K$2:$K$37000,"68*")</f>
        <v>0</v>
      </c>
      <c r="N47" s="559">
        <f>[1]!CIP1072P435F2700</f>
        <v>0</v>
      </c>
      <c r="O47" s="559">
        <f>SUM(I47:M47)</f>
        <v>0</v>
      </c>
      <c r="P47" s="193"/>
      <c r="Q47" s="202">
        <v>27</v>
      </c>
    </row>
    <row r="48" spans="1:17" ht="12" customHeight="1" x14ac:dyDescent="0.25">
      <c r="A48" s="101" t="s">
        <v>215</v>
      </c>
      <c r="B48" s="102"/>
      <c r="C48" s="102"/>
      <c r="D48" s="102"/>
      <c r="E48" s="203">
        <v>28</v>
      </c>
      <c r="F48" s="552">
        <f>[2]!CIP1072EndBal</f>
        <v>0</v>
      </c>
      <c r="G48" s="56"/>
      <c r="H48" s="554">
        <f>H32</f>
        <v>0</v>
      </c>
      <c r="I48" s="559">
        <f t="shared" ref="I48:M48" si="4">SUM(I44:I47)</f>
        <v>0</v>
      </c>
      <c r="J48" s="559">
        <f t="shared" si="4"/>
        <v>0</v>
      </c>
      <c r="K48" s="559">
        <f t="shared" si="4"/>
        <v>0</v>
      </c>
      <c r="L48" s="559">
        <f t="shared" si="4"/>
        <v>0</v>
      </c>
      <c r="M48" s="559">
        <f t="shared" si="4"/>
        <v>0</v>
      </c>
      <c r="N48" s="554">
        <f>SUM(N44:N47)</f>
        <v>0</v>
      </c>
      <c r="O48" s="554">
        <f>SUM(O44:O47)</f>
        <v>0</v>
      </c>
      <c r="P48" s="554">
        <f>IF(G48="",F48,G48)+H48-O48</f>
        <v>0</v>
      </c>
      <c r="Q48" s="202">
        <v>28</v>
      </c>
    </row>
  </sheetData>
  <sheetProtection sheet="1" formatCells="0" formatColumns="0" formatRows="0"/>
  <mergeCells count="31">
    <mergeCell ref="D1:E1"/>
    <mergeCell ref="K1:L1"/>
    <mergeCell ref="A27:M27"/>
    <mergeCell ref="I6:I7"/>
    <mergeCell ref="J6:J7"/>
    <mergeCell ref="K6:K7"/>
    <mergeCell ref="G3:G5"/>
    <mergeCell ref="F28:F29"/>
    <mergeCell ref="F6:F7"/>
    <mergeCell ref="N3:O3"/>
    <mergeCell ref="N14:N15"/>
    <mergeCell ref="N6:N7"/>
    <mergeCell ref="P6:P7"/>
    <mergeCell ref="H11:H13"/>
    <mergeCell ref="H23:H25"/>
    <mergeCell ref="H14:H15"/>
    <mergeCell ref="H6:H7"/>
    <mergeCell ref="L6:L7"/>
    <mergeCell ref="M6:M7"/>
    <mergeCell ref="H45:H47"/>
    <mergeCell ref="N28:N29"/>
    <mergeCell ref="O28:O29"/>
    <mergeCell ref="P28:P29"/>
    <mergeCell ref="O14:O15"/>
    <mergeCell ref="H28:H29"/>
    <mergeCell ref="H36:H37"/>
    <mergeCell ref="I28:I29"/>
    <mergeCell ref="J28:J29"/>
    <mergeCell ref="K28:K29"/>
    <mergeCell ref="L28:L29"/>
    <mergeCell ref="M28:M29"/>
  </mergeCells>
  <conditionalFormatting sqref="G26">
    <cfRule type="containsBlanks" dxfId="61" priority="2">
      <formula>LEN(TRIM(G26))=0</formula>
    </cfRule>
  </conditionalFormatting>
  <conditionalFormatting sqref="G48">
    <cfRule type="containsBlanks" dxfId="60" priority="1">
      <formula>LEN(TRIM(G48))=0</formula>
    </cfRule>
  </conditionalFormatting>
  <hyperlinks>
    <hyperlink ref="G3" location="Page5AdjBeginProjBal" display="Adjusted" xr:uid="{0B1C98DD-F905-41A8-9AA6-3B0FC30A78BF}"/>
  </hyperlinks>
  <pageMargins left="0.7" right="0.7" top="0.75" bottom="0.75" header="0.3" footer="0.3"/>
  <pageSetup scale="70" orientation="landscape" r:id="rId1"/>
  <headerFooter>
    <oddFooter>&amp;LRev. 8/25 Arizona Department of Education and Auditor General&amp;CFY 2025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2BCD-3477-455C-B39B-27A606227B57}">
  <sheetPr>
    <pageSetUpPr fitToPage="1"/>
  </sheetPr>
  <dimension ref="A1:AA41"/>
  <sheetViews>
    <sheetView showGridLines="0" workbookViewId="0">
      <selection activeCell="G41" sqref="G41"/>
    </sheetView>
  </sheetViews>
  <sheetFormatPr defaultColWidth="9.33203125" defaultRowHeight="13.2" x14ac:dyDescent="0.25"/>
  <cols>
    <col min="1" max="1" width="3.77734375" customWidth="1"/>
    <col min="2" max="2" width="33.33203125" customWidth="1"/>
    <col min="3" max="3" width="2" customWidth="1"/>
    <col min="4" max="4" width="16" customWidth="1"/>
    <col min="5" max="5" width="3" customWidth="1"/>
    <col min="6" max="6" width="12.77734375" customWidth="1"/>
    <col min="7" max="7" width="13" customWidth="1"/>
    <col min="8" max="9" width="3.77734375" customWidth="1"/>
    <col min="10" max="10" width="2.33203125" customWidth="1"/>
    <col min="11" max="11" width="11" customWidth="1"/>
    <col min="12" max="12" width="18.6640625" customWidth="1"/>
    <col min="13" max="13" width="6.33203125" customWidth="1"/>
    <col min="14" max="14" width="5.33203125" customWidth="1"/>
    <col min="15" max="15" width="7.33203125" customWidth="1"/>
    <col min="16" max="16" width="6.77734375" customWidth="1"/>
    <col min="17" max="17" width="9" customWidth="1"/>
    <col min="18" max="18" width="15.77734375" customWidth="1"/>
    <col min="19" max="19" width="15" customWidth="1"/>
    <col min="20" max="20" width="15.33203125" customWidth="1"/>
    <col min="21" max="21" width="12.77734375" customWidth="1"/>
    <col min="22" max="22" width="15.77734375" customWidth="1"/>
    <col min="23" max="23" width="9.33203125" customWidth="1"/>
  </cols>
  <sheetData>
    <row r="1" spans="1:27" ht="12" customHeight="1" x14ac:dyDescent="0.25">
      <c r="A1" s="551" t="s">
        <v>0</v>
      </c>
      <c r="C1" s="802" t="str">
        <f>'Cover Page'!D1</f>
        <v>Highland Prep West</v>
      </c>
      <c r="D1" s="802"/>
      <c r="E1" s="802"/>
      <c r="F1" s="802"/>
      <c r="H1" t="s">
        <v>20</v>
      </c>
      <c r="I1" s="551" t="s">
        <v>1</v>
      </c>
      <c r="L1" s="1" t="str">
        <f>'Cover Page'!M1</f>
        <v>Maricopa</v>
      </c>
      <c r="T1" s="64" t="s">
        <v>2</v>
      </c>
      <c r="U1" s="210" t="str">
        <f>'Cover Page'!R1</f>
        <v>078419000</v>
      </c>
    </row>
    <row r="2" spans="1:27" hidden="1" x14ac:dyDescent="0.25">
      <c r="T2" s="71"/>
      <c r="U2" s="71"/>
    </row>
    <row r="3" spans="1:27" x14ac:dyDescent="0.25">
      <c r="V3" s="156"/>
    </row>
    <row r="4" spans="1:27" x14ac:dyDescent="0.25">
      <c r="A4" s="211" t="s">
        <v>216</v>
      </c>
      <c r="B4" s="71"/>
      <c r="C4" s="71"/>
      <c r="D4" s="71"/>
      <c r="E4" s="71"/>
      <c r="F4" s="71"/>
      <c r="G4" s="71"/>
      <c r="H4" s="71"/>
      <c r="I4" s="71"/>
      <c r="J4" s="71"/>
      <c r="K4" s="71"/>
      <c r="L4" s="71"/>
      <c r="M4" s="71"/>
      <c r="N4" s="71"/>
      <c r="O4" s="71"/>
      <c r="P4" s="71"/>
      <c r="Q4" s="71"/>
      <c r="R4" s="71"/>
      <c r="S4" s="71"/>
      <c r="T4" s="71"/>
      <c r="U4" s="71"/>
    </row>
    <row r="5" spans="1:27" x14ac:dyDescent="0.25">
      <c r="B5" s="693" t="s">
        <v>726</v>
      </c>
      <c r="D5" s="682" t="s">
        <v>1285</v>
      </c>
      <c r="F5" s="682" t="s">
        <v>1286</v>
      </c>
    </row>
    <row r="6" spans="1:27" x14ac:dyDescent="0.25">
      <c r="A6" t="s">
        <v>217</v>
      </c>
      <c r="B6" t="s">
        <v>218</v>
      </c>
      <c r="C6" s="7" t="s">
        <v>16</v>
      </c>
      <c r="D6" s="212">
        <f>[2]!CashBal</f>
        <v>996205</v>
      </c>
      <c r="E6" s="7" t="s">
        <v>16</v>
      </c>
      <c r="F6" s="60">
        <v>1239190</v>
      </c>
      <c r="I6" t="s">
        <v>219</v>
      </c>
      <c r="J6" s="213" t="s">
        <v>24</v>
      </c>
      <c r="K6" s="214" t="s">
        <v>220</v>
      </c>
      <c r="L6" s="657"/>
      <c r="M6" s="656"/>
      <c r="N6" s="657"/>
      <c r="O6" s="656"/>
      <c r="P6" s="215"/>
      <c r="Q6" s="216"/>
      <c r="T6" s="29">
        <v>15</v>
      </c>
      <c r="U6" s="808"/>
      <c r="V6" s="808"/>
      <c r="W6" s="808"/>
      <c r="X6" s="808"/>
      <c r="Y6" s="808"/>
      <c r="Z6" s="808"/>
      <c r="AA6" s="808"/>
    </row>
    <row r="7" spans="1:27" x14ac:dyDescent="0.25">
      <c r="D7" s="218"/>
      <c r="F7" s="218"/>
      <c r="J7" s="213" t="s">
        <v>26</v>
      </c>
      <c r="K7" s="214" t="s">
        <v>221</v>
      </c>
      <c r="L7" s="657"/>
      <c r="M7" s="656"/>
      <c r="N7" s="657"/>
      <c r="O7" s="656"/>
      <c r="P7" s="215"/>
      <c r="Q7" s="216"/>
      <c r="T7" s="29">
        <v>0</v>
      </c>
      <c r="AA7" s="219" t="str">
        <f>IF(OR(CashBal="",F9="",G9="",F10="",G10="",G14="",G15="",G16="",G17="",G18="",G19="",F23="",F24="",F25="",F26="",F27="",F28="",G33="",G34="",G35="",G36="",G38="",G40=""),"yes","")</f>
        <v>yes</v>
      </c>
    </row>
    <row r="8" spans="1:27" x14ac:dyDescent="0.25">
      <c r="A8" t="s">
        <v>222</v>
      </c>
      <c r="B8" s="214" t="s">
        <v>223</v>
      </c>
      <c r="C8" s="7"/>
      <c r="E8" s="7"/>
      <c r="F8" s="583" t="s">
        <v>98</v>
      </c>
      <c r="G8" s="583" t="s">
        <v>23</v>
      </c>
      <c r="J8" s="213" t="s">
        <v>28</v>
      </c>
      <c r="K8" s="214" t="s">
        <v>224</v>
      </c>
      <c r="L8" s="657"/>
      <c r="M8" s="656"/>
      <c r="N8" s="657"/>
      <c r="O8" s="656"/>
      <c r="P8" s="215"/>
      <c r="Q8" s="216"/>
      <c r="T8" s="32">
        <v>0</v>
      </c>
      <c r="AA8" s="219" t="str">
        <f>IF(OR(T6="",T7="",T8="",T9="",T10="",T11="",T12="",T13="",T29=""),"yes","")</f>
        <v/>
      </c>
    </row>
    <row r="9" spans="1:27" x14ac:dyDescent="0.25">
      <c r="B9" t="s">
        <v>225</v>
      </c>
      <c r="C9" s="7"/>
      <c r="E9" s="7"/>
      <c r="F9" s="56">
        <v>14000</v>
      </c>
      <c r="G9" s="56">
        <v>14000</v>
      </c>
      <c r="J9" s="220" t="s">
        <v>31</v>
      </c>
      <c r="K9" t="s">
        <v>226</v>
      </c>
      <c r="T9" s="30">
        <v>1</v>
      </c>
      <c r="AA9" s="219" t="str">
        <f>IF(OR(M19="",P19="",R19="",S19="",T19="",M20="",P20="",R20="",S20="",T20="",M21="",P21="",R21="",S21="",T21="",M22="",P22="",R22="",S22="",T22="",M24="",P24="",R24="",S24="",T24=""),"yes","")</f>
        <v>yes</v>
      </c>
    </row>
    <row r="10" spans="1:27" ht="13.8" thickBot="1" x14ac:dyDescent="0.3">
      <c r="B10" t="s">
        <v>227</v>
      </c>
      <c r="F10" s="59"/>
      <c r="G10" s="59"/>
      <c r="J10" s="220" t="s">
        <v>33</v>
      </c>
      <c r="K10" t="s">
        <v>228</v>
      </c>
      <c r="T10" s="29">
        <v>180</v>
      </c>
      <c r="AA10" s="219" t="str">
        <f>IF(AND(AA7="",AA8="",AA9=""),"","yes")</f>
        <v>yes</v>
      </c>
    </row>
    <row r="11" spans="1:27" ht="13.8" thickBot="1" x14ac:dyDescent="0.3">
      <c r="B11" t="s">
        <v>229</v>
      </c>
      <c r="F11" s="222">
        <f>SUM(F9:F10)</f>
        <v>14000</v>
      </c>
      <c r="G11" s="222">
        <f>SUM(G9:G10)</f>
        <v>14000</v>
      </c>
      <c r="J11" s="93" t="s">
        <v>35</v>
      </c>
      <c r="K11" t="s">
        <v>230</v>
      </c>
      <c r="S11" s="7" t="s">
        <v>16</v>
      </c>
      <c r="T11" s="30">
        <v>0</v>
      </c>
    </row>
    <row r="12" spans="1:27" ht="13.8" thickTop="1" x14ac:dyDescent="0.25">
      <c r="J12" s="93" t="s">
        <v>36</v>
      </c>
      <c r="K12" t="s">
        <v>231</v>
      </c>
      <c r="S12" s="7" t="s">
        <v>16</v>
      </c>
      <c r="T12" s="30">
        <v>0</v>
      </c>
    </row>
    <row r="13" spans="1:27" x14ac:dyDescent="0.25">
      <c r="A13" t="s">
        <v>232</v>
      </c>
      <c r="B13" s="214" t="s">
        <v>233</v>
      </c>
      <c r="F13" s="583" t="s">
        <v>98</v>
      </c>
      <c r="G13" s="583" t="s">
        <v>23</v>
      </c>
      <c r="J13" s="93" t="s">
        <v>38</v>
      </c>
      <c r="K13" t="s">
        <v>234</v>
      </c>
      <c r="S13" s="7" t="s">
        <v>16</v>
      </c>
      <c r="T13" s="576">
        <v>98514</v>
      </c>
    </row>
    <row r="14" spans="1:27" x14ac:dyDescent="0.25">
      <c r="B14" t="s">
        <v>235</v>
      </c>
      <c r="F14" s="552">
        <f>[1]!CA0181IntangibleAssets</f>
        <v>0</v>
      </c>
      <c r="G14" s="54">
        <v>0</v>
      </c>
      <c r="J14" s="93"/>
      <c r="T14" s="7"/>
      <c r="U14" s="223"/>
    </row>
    <row r="15" spans="1:27" x14ac:dyDescent="0.25">
      <c r="B15" t="s">
        <v>236</v>
      </c>
      <c r="F15" s="552">
        <f>[1]!CA0191Land</f>
        <v>0</v>
      </c>
      <c r="G15" s="54">
        <v>0</v>
      </c>
    </row>
    <row r="16" spans="1:27" ht="12.75" customHeight="1" x14ac:dyDescent="0.25">
      <c r="B16" t="s">
        <v>237</v>
      </c>
      <c r="F16" s="552">
        <f>[1]!CA0192SiteImprovements</f>
        <v>0</v>
      </c>
      <c r="G16" s="54">
        <v>0</v>
      </c>
      <c r="M16" s="846" t="s">
        <v>238</v>
      </c>
      <c r="N16" s="847"/>
      <c r="O16" s="848"/>
      <c r="P16" s="846" t="s">
        <v>239</v>
      </c>
      <c r="Q16" s="848"/>
      <c r="R16" s="224" t="s">
        <v>238</v>
      </c>
      <c r="S16" s="224" t="s">
        <v>239</v>
      </c>
      <c r="T16" s="224" t="s">
        <v>240</v>
      </c>
      <c r="V16" s="8"/>
      <c r="W16" s="8"/>
    </row>
    <row r="17" spans="1:21" ht="12.75" customHeight="1" x14ac:dyDescent="0.25">
      <c r="B17" t="s">
        <v>241</v>
      </c>
      <c r="F17" s="552">
        <f>[1]!CA0194Buildings</f>
        <v>0</v>
      </c>
      <c r="G17" s="54">
        <v>0</v>
      </c>
      <c r="I17" t="s">
        <v>242</v>
      </c>
      <c r="J17" s="214" t="s">
        <v>243</v>
      </c>
      <c r="K17" s="214"/>
      <c r="L17" s="214"/>
      <c r="M17" s="855" t="s">
        <v>244</v>
      </c>
      <c r="N17" s="871"/>
      <c r="O17" s="856"/>
      <c r="P17" s="855" t="s">
        <v>244</v>
      </c>
      <c r="Q17" s="856"/>
      <c r="R17" s="225" t="s">
        <v>245</v>
      </c>
      <c r="S17" s="225" t="s">
        <v>245</v>
      </c>
      <c r="T17" s="225" t="s">
        <v>244</v>
      </c>
    </row>
    <row r="18" spans="1:21" ht="12.75" customHeight="1" x14ac:dyDescent="0.25">
      <c r="B18" t="s">
        <v>246</v>
      </c>
      <c r="F18" s="552">
        <f>[1]!CA0196Equipment</f>
        <v>51500</v>
      </c>
      <c r="G18" s="54">
        <v>83524</v>
      </c>
      <c r="J18" s="214" t="s">
        <v>247</v>
      </c>
      <c r="K18" s="214"/>
      <c r="L18" s="214"/>
      <c r="M18" s="866" t="s">
        <v>248</v>
      </c>
      <c r="N18" s="872"/>
      <c r="O18" s="867"/>
      <c r="P18" s="866" t="s">
        <v>249</v>
      </c>
      <c r="Q18" s="867"/>
      <c r="R18" s="226" t="s">
        <v>250</v>
      </c>
      <c r="S18" s="226" t="s">
        <v>251</v>
      </c>
      <c r="T18" s="226" t="s">
        <v>252</v>
      </c>
    </row>
    <row r="19" spans="1:21" ht="12.75" customHeight="1" thickBot="1" x14ac:dyDescent="0.3">
      <c r="B19" s="214" t="s">
        <v>253</v>
      </c>
      <c r="F19" s="221">
        <f>[1]!CA0198CIP</f>
        <v>0</v>
      </c>
      <c r="G19" s="58">
        <v>0</v>
      </c>
      <c r="J19" s="213" t="s">
        <v>24</v>
      </c>
      <c r="K19" s="214" t="s">
        <v>254</v>
      </c>
      <c r="L19" s="214"/>
      <c r="M19" s="852">
        <v>831499</v>
      </c>
      <c r="N19" s="853"/>
      <c r="O19" s="854"/>
      <c r="P19" s="852"/>
      <c r="Q19" s="853"/>
      <c r="R19" s="33"/>
      <c r="S19" s="33"/>
      <c r="T19" s="33"/>
    </row>
    <row r="20" spans="1:21" ht="13.5" customHeight="1" thickBot="1" x14ac:dyDescent="0.3">
      <c r="B20" t="s">
        <v>255</v>
      </c>
      <c r="F20" s="542">
        <f>SUM(F14:F19)</f>
        <v>51500</v>
      </c>
      <c r="G20" s="222">
        <f>SUM(G14:G19)</f>
        <v>83524</v>
      </c>
      <c r="J20" s="213" t="s">
        <v>26</v>
      </c>
      <c r="K20" s="214" t="s">
        <v>256</v>
      </c>
      <c r="L20" s="214"/>
      <c r="M20" s="852"/>
      <c r="N20" s="853"/>
      <c r="O20" s="854"/>
      <c r="P20" s="852"/>
      <c r="Q20" s="853"/>
      <c r="R20" s="33"/>
      <c r="S20" s="33"/>
      <c r="T20" s="33"/>
    </row>
    <row r="21" spans="1:21" ht="13.8" thickTop="1" x14ac:dyDescent="0.25">
      <c r="J21" s="213" t="s">
        <v>28</v>
      </c>
      <c r="K21" s="214" t="s">
        <v>257</v>
      </c>
      <c r="L21" s="214"/>
      <c r="M21" s="852"/>
      <c r="N21" s="853"/>
      <c r="O21" s="854"/>
      <c r="P21" s="852"/>
      <c r="Q21" s="853"/>
      <c r="R21" s="33"/>
      <c r="S21" s="33"/>
      <c r="T21" s="33"/>
      <c r="U21" s="223"/>
    </row>
    <row r="22" spans="1:21" ht="13.5" customHeight="1" x14ac:dyDescent="0.25">
      <c r="A22" t="s">
        <v>258</v>
      </c>
      <c r="B22" s="214" t="s">
        <v>1297</v>
      </c>
      <c r="C22" s="228"/>
      <c r="D22" s="228"/>
      <c r="E22" s="214"/>
      <c r="F22" s="214"/>
      <c r="J22" s="213" t="s">
        <v>31</v>
      </c>
      <c r="K22" s="214" t="s">
        <v>259</v>
      </c>
      <c r="L22" s="214"/>
      <c r="M22" s="868"/>
      <c r="N22" s="869"/>
      <c r="O22" s="870"/>
      <c r="P22" s="852"/>
      <c r="Q22" s="854"/>
      <c r="R22" s="33"/>
      <c r="S22" s="33"/>
      <c r="T22" s="33"/>
      <c r="U22" s="223"/>
    </row>
    <row r="23" spans="1:21" ht="13.5" customHeight="1" x14ac:dyDescent="0.25">
      <c r="B23" t="s">
        <v>235</v>
      </c>
      <c r="E23" s="7" t="s">
        <v>16</v>
      </c>
      <c r="F23" s="29">
        <v>0</v>
      </c>
      <c r="J23" s="213" t="s">
        <v>33</v>
      </c>
      <c r="K23" s="849" t="s">
        <v>260</v>
      </c>
      <c r="L23" s="850"/>
      <c r="M23" s="229"/>
      <c r="N23" s="230"/>
      <c r="O23" s="231"/>
      <c r="P23" s="230"/>
      <c r="Q23" s="231"/>
      <c r="R23" s="232"/>
      <c r="S23" s="232"/>
      <c r="T23" s="232"/>
      <c r="U23" s="223"/>
    </row>
    <row r="24" spans="1:21" ht="13.5" customHeight="1" x14ac:dyDescent="0.25">
      <c r="B24" t="s">
        <v>236</v>
      </c>
      <c r="E24" s="7" t="s">
        <v>16</v>
      </c>
      <c r="F24" s="29">
        <v>0</v>
      </c>
      <c r="J24" s="233"/>
      <c r="K24" s="849"/>
      <c r="L24" s="850"/>
      <c r="M24" s="863"/>
      <c r="N24" s="864"/>
      <c r="O24" s="865"/>
      <c r="P24" s="863"/>
      <c r="Q24" s="864"/>
      <c r="R24" s="34"/>
      <c r="S24" s="34"/>
      <c r="T24" s="34"/>
      <c r="U24" s="223"/>
    </row>
    <row r="25" spans="1:21" ht="13.5" customHeight="1" x14ac:dyDescent="0.25">
      <c r="B25" t="s">
        <v>237</v>
      </c>
      <c r="E25" s="7" t="s">
        <v>16</v>
      </c>
      <c r="F25" s="29">
        <v>0</v>
      </c>
      <c r="M25" s="31"/>
      <c r="N25" s="31"/>
      <c r="O25" s="31"/>
      <c r="P25" s="31"/>
      <c r="Q25" s="31"/>
      <c r="R25" s="31"/>
      <c r="S25" s="31"/>
      <c r="T25" s="31"/>
      <c r="U25" s="31"/>
    </row>
    <row r="26" spans="1:21" ht="13.5" customHeight="1" x14ac:dyDescent="0.25">
      <c r="B26" t="s">
        <v>241</v>
      </c>
      <c r="E26" s="7" t="s">
        <v>16</v>
      </c>
      <c r="F26" s="30">
        <v>0</v>
      </c>
      <c r="M26" s="223"/>
      <c r="N26" s="223"/>
      <c r="O26" s="223"/>
      <c r="P26" s="223"/>
      <c r="Q26" s="223"/>
      <c r="R26" s="223"/>
      <c r="S26" s="223"/>
      <c r="T26" s="223"/>
      <c r="U26" s="223"/>
    </row>
    <row r="27" spans="1:21" ht="15.75" customHeight="1" thickBot="1" x14ac:dyDescent="0.3">
      <c r="B27" t="s">
        <v>246</v>
      </c>
      <c r="E27" s="7" t="s">
        <v>16</v>
      </c>
      <c r="F27" s="29">
        <v>455661</v>
      </c>
      <c r="I27" t="s">
        <v>261</v>
      </c>
      <c r="J27" s="214" t="s">
        <v>262</v>
      </c>
      <c r="K27" s="234"/>
      <c r="L27" s="234"/>
      <c r="M27" s="234"/>
      <c r="N27" s="234"/>
      <c r="O27" s="234"/>
      <c r="P27" s="234"/>
      <c r="Q27" s="234"/>
      <c r="R27" s="234"/>
      <c r="S27" s="550"/>
    </row>
    <row r="28" spans="1:21" ht="13.5" customHeight="1" thickBot="1" x14ac:dyDescent="0.35">
      <c r="B28" s="214" t="s">
        <v>253</v>
      </c>
      <c r="E28" s="7" t="s">
        <v>16</v>
      </c>
      <c r="F28" s="29">
        <v>0</v>
      </c>
      <c r="I28" s="93"/>
      <c r="K28" s="35"/>
      <c r="L28" s="673" t="s">
        <v>1287</v>
      </c>
      <c r="M28" s="235"/>
      <c r="N28" s="235"/>
      <c r="O28" s="235"/>
      <c r="P28" s="235"/>
      <c r="Q28" s="235"/>
      <c r="U28" s="550"/>
    </row>
    <row r="29" spans="1:21" ht="13.5" customHeight="1" thickBot="1" x14ac:dyDescent="0.3">
      <c r="B29" t="s">
        <v>263</v>
      </c>
      <c r="E29" s="7" t="s">
        <v>16</v>
      </c>
      <c r="F29" s="236">
        <f>SUM(F23:F28)</f>
        <v>455661</v>
      </c>
      <c r="I29" s="93"/>
      <c r="J29" t="s">
        <v>24</v>
      </c>
      <c r="K29" s="673" t="s">
        <v>1288</v>
      </c>
      <c r="N29" s="237"/>
      <c r="S29" s="7" t="s">
        <v>16</v>
      </c>
      <c r="T29" s="61">
        <v>55500</v>
      </c>
      <c r="U29" s="550"/>
    </row>
    <row r="30" spans="1:21" ht="13.8" thickTop="1" x14ac:dyDescent="0.25">
      <c r="I30" s="93"/>
      <c r="J30" t="s">
        <v>26</v>
      </c>
      <c r="K30" s="673" t="s">
        <v>1289</v>
      </c>
      <c r="L30" s="159"/>
      <c r="M30" s="159"/>
      <c r="S30" s="7" t="s">
        <v>16</v>
      </c>
      <c r="T30" s="238">
        <f>'[2]Page 6'!$T$29</f>
        <v>53806</v>
      </c>
      <c r="U30" s="550"/>
    </row>
    <row r="31" spans="1:21" x14ac:dyDescent="0.25">
      <c r="A31" t="s">
        <v>264</v>
      </c>
      <c r="B31" s="214" t="s">
        <v>265</v>
      </c>
      <c r="C31" s="214"/>
      <c r="D31" s="214"/>
      <c r="E31" s="239"/>
      <c r="J31" t="s">
        <v>28</v>
      </c>
      <c r="K31" s="673" t="s">
        <v>1290</v>
      </c>
      <c r="L31" s="159"/>
      <c r="M31" s="159"/>
      <c r="S31" s="7" t="s">
        <v>16</v>
      </c>
      <c r="T31" s="240">
        <f>T29-T30</f>
        <v>1694</v>
      </c>
      <c r="U31" s="550"/>
    </row>
    <row r="32" spans="1:21" ht="13.8" thickBot="1" x14ac:dyDescent="0.3">
      <c r="B32" t="s">
        <v>266</v>
      </c>
      <c r="F32" s="7"/>
      <c r="G32" s="31"/>
      <c r="J32" s="241" t="s">
        <v>31</v>
      </c>
      <c r="K32" t="s">
        <v>267</v>
      </c>
      <c r="L32" s="242"/>
      <c r="M32" s="242"/>
      <c r="P32" s="119"/>
      <c r="Q32" s="119"/>
      <c r="R32" s="119"/>
      <c r="S32" s="7" t="s">
        <v>16</v>
      </c>
      <c r="T32" s="243">
        <f>IF(PriorYearSalary&gt;0,T31/T30,0)</f>
        <v>3.1E-2</v>
      </c>
      <c r="U32" s="550"/>
    </row>
    <row r="33" spans="1:21" ht="13.5" customHeight="1" thickTop="1" x14ac:dyDescent="0.25">
      <c r="B33" t="s">
        <v>268</v>
      </c>
      <c r="F33" s="7" t="s">
        <v>16</v>
      </c>
      <c r="G33" s="29">
        <f>SP1000P100F1000+'Page 2'!J37+SP1000ClassSiteProj+SP1000InstrImpProj+SP1000FedStProj-489000</f>
        <v>2393461</v>
      </c>
      <c r="H33" s="816" t="str">
        <f>IF('Page 2'!J48=0,"",IF(OR(G36&lt;=0),"The Charter did not report any current expenses for student support services on line 4. If the Charter did not have any expense, verify by checking the box in A16 on the Cover Page.",""))</f>
        <v/>
      </c>
      <c r="I33" s="816"/>
      <c r="J33" s="816"/>
      <c r="K33" s="816"/>
      <c r="L33" s="816"/>
      <c r="M33" s="816"/>
      <c r="N33" s="816"/>
      <c r="O33" s="816"/>
      <c r="P33" s="816"/>
      <c r="Q33" s="816"/>
      <c r="R33" s="816"/>
      <c r="S33" s="816"/>
      <c r="T33" s="8"/>
      <c r="U33" s="8"/>
    </row>
    <row r="34" spans="1:21" ht="13.5" customHeight="1" x14ac:dyDescent="0.25">
      <c r="B34" t="s">
        <v>269</v>
      </c>
      <c r="C34" s="239"/>
      <c r="D34" s="239"/>
      <c r="E34" s="239"/>
      <c r="F34" s="7" t="s">
        <v>16</v>
      </c>
      <c r="G34" s="29">
        <f>'Page 2'!G7</f>
        <v>489474</v>
      </c>
      <c r="H34" s="816"/>
      <c r="I34" s="816"/>
      <c r="J34" s="816"/>
      <c r="K34" s="816"/>
      <c r="L34" s="816"/>
      <c r="M34" s="816"/>
      <c r="N34" s="816"/>
      <c r="O34" s="816"/>
      <c r="P34" s="816"/>
      <c r="Q34" s="816"/>
      <c r="R34" s="816"/>
      <c r="S34" s="816"/>
      <c r="T34" s="8"/>
      <c r="U34" s="8"/>
    </row>
    <row r="35" spans="1:21" x14ac:dyDescent="0.25">
      <c r="B35" t="s">
        <v>270</v>
      </c>
      <c r="C35" s="239"/>
      <c r="D35" s="239"/>
      <c r="E35" s="239"/>
      <c r="F35" s="7" t="s">
        <v>16</v>
      </c>
      <c r="G35" s="30">
        <f>SP1000P100F2400+SP1000P100F2500</f>
        <v>657702</v>
      </c>
      <c r="K35" t="s">
        <v>271</v>
      </c>
    </row>
    <row r="36" spans="1:21" x14ac:dyDescent="0.25">
      <c r="B36" t="s">
        <v>272</v>
      </c>
      <c r="C36" s="239"/>
      <c r="D36" s="239"/>
      <c r="E36" s="239"/>
      <c r="F36" s="7" t="s">
        <v>16</v>
      </c>
      <c r="G36" s="29">
        <f>SP1000P100F2100</f>
        <v>7584</v>
      </c>
      <c r="K36" s="857"/>
      <c r="L36" s="858"/>
      <c r="M36" s="858"/>
      <c r="N36" s="858"/>
      <c r="O36" s="858"/>
      <c r="P36" s="858"/>
      <c r="Q36" s="858"/>
      <c r="R36" s="858"/>
      <c r="S36" s="858"/>
      <c r="T36" s="859"/>
    </row>
    <row r="37" spans="1:21" ht="13.8" x14ac:dyDescent="0.25">
      <c r="A37" s="244"/>
      <c r="B37" t="s">
        <v>273</v>
      </c>
      <c r="E37" s="239"/>
      <c r="F37" s="7"/>
      <c r="G37" s="31"/>
      <c r="K37" s="860"/>
      <c r="L37" s="861"/>
      <c r="M37" s="861"/>
      <c r="N37" s="861"/>
      <c r="O37" s="861"/>
      <c r="P37" s="861"/>
      <c r="Q37" s="861"/>
      <c r="R37" s="861"/>
      <c r="S37" s="861"/>
      <c r="T37" s="862"/>
    </row>
    <row r="38" spans="1:21" ht="13.8" x14ac:dyDescent="0.25">
      <c r="A38" s="244"/>
      <c r="B38" t="s">
        <v>274</v>
      </c>
      <c r="E38" s="239"/>
      <c r="F38" s="7" t="s">
        <v>16</v>
      </c>
      <c r="G38" s="29">
        <f>SP1000P100F2600+SP1000P100F5000+SP1000P620</f>
        <v>1176015</v>
      </c>
      <c r="J38" s="220"/>
      <c r="K38" s="550"/>
      <c r="S38" s="7"/>
      <c r="T38" s="245"/>
    </row>
    <row r="39" spans="1:21" ht="14.4" thickBot="1" x14ac:dyDescent="0.3">
      <c r="A39" s="244"/>
      <c r="B39" s="93" t="s">
        <v>275</v>
      </c>
      <c r="F39" s="7" t="s">
        <v>16</v>
      </c>
      <c r="G39" s="236">
        <f>SUM(G33:G38)</f>
        <v>4724236</v>
      </c>
    </row>
    <row r="40" spans="1:21" ht="13.5" customHeight="1" thickTop="1" x14ac:dyDescent="0.25">
      <c r="B40" s="845" t="s">
        <v>276</v>
      </c>
      <c r="C40" s="845"/>
      <c r="D40" s="845"/>
      <c r="E40" s="845"/>
      <c r="F40" s="7" t="s">
        <v>16</v>
      </c>
      <c r="G40" s="29">
        <f>SP1000FedStProj</f>
        <v>609337</v>
      </c>
    </row>
    <row r="41" spans="1:21" x14ac:dyDescent="0.25">
      <c r="B41" s="851" t="s">
        <v>277</v>
      </c>
      <c r="C41" s="851"/>
      <c r="D41" s="851"/>
      <c r="E41" s="851"/>
      <c r="F41" s="7" t="s">
        <v>16</v>
      </c>
      <c r="G41" s="217">
        <f>G39-G40</f>
        <v>4114899</v>
      </c>
    </row>
  </sheetData>
  <sheetProtection sheet="1" formatCells="0" formatColumns="0" formatRows="0"/>
  <mergeCells count="23">
    <mergeCell ref="C1:F1"/>
    <mergeCell ref="P16:Q16"/>
    <mergeCell ref="P21:Q21"/>
    <mergeCell ref="M22:O22"/>
    <mergeCell ref="P22:Q22"/>
    <mergeCell ref="M17:O17"/>
    <mergeCell ref="M18:O18"/>
    <mergeCell ref="B40:E40"/>
    <mergeCell ref="U6:AA6"/>
    <mergeCell ref="M16:O16"/>
    <mergeCell ref="K23:L24"/>
    <mergeCell ref="B41:E41"/>
    <mergeCell ref="P20:Q20"/>
    <mergeCell ref="P19:Q19"/>
    <mergeCell ref="M20:O20"/>
    <mergeCell ref="M21:O21"/>
    <mergeCell ref="P17:Q17"/>
    <mergeCell ref="K36:T37"/>
    <mergeCell ref="P24:Q24"/>
    <mergeCell ref="H33:S34"/>
    <mergeCell ref="M24:O24"/>
    <mergeCell ref="P18:Q18"/>
    <mergeCell ref="M19:O19"/>
  </mergeCells>
  <conditionalFormatting sqref="F6 F9:F10">
    <cfRule type="expression" dxfId="59" priority="16" stopIfTrue="1">
      <formula>$F6=""</formula>
    </cfRule>
  </conditionalFormatting>
  <conditionalFormatting sqref="F23:F28">
    <cfRule type="expression" dxfId="58" priority="10" stopIfTrue="1">
      <formula>$F23=""</formula>
    </cfRule>
  </conditionalFormatting>
  <conditionalFormatting sqref="G9:G10">
    <cfRule type="expression" dxfId="57" priority="15" stopIfTrue="1">
      <formula>$G9=""</formula>
    </cfRule>
  </conditionalFormatting>
  <conditionalFormatting sqref="G14:G19">
    <cfRule type="expression" dxfId="56" priority="11" stopIfTrue="1">
      <formula>$G14=""</formula>
    </cfRule>
  </conditionalFormatting>
  <conditionalFormatting sqref="G33:G36 G38 G40">
    <cfRule type="expression" dxfId="55" priority="8" stopIfTrue="1">
      <formula>$G33=""</formula>
    </cfRule>
  </conditionalFormatting>
  <conditionalFormatting sqref="G36">
    <cfRule type="expression" dxfId="54" priority="9" stopIfTrue="1">
      <formula>$H$33&lt;&gt;""</formula>
    </cfRule>
  </conditionalFormatting>
  <conditionalFormatting sqref="H33">
    <cfRule type="expression" dxfId="53" priority="18" stopIfTrue="1">
      <formula>$H$33&lt;&gt;""</formula>
    </cfRule>
  </conditionalFormatting>
  <conditionalFormatting sqref="M19:T22">
    <cfRule type="expression" dxfId="52" priority="5" stopIfTrue="1">
      <formula>M19=""</formula>
    </cfRule>
  </conditionalFormatting>
  <conditionalFormatting sqref="M24:T24">
    <cfRule type="expression" dxfId="51" priority="6" stopIfTrue="1">
      <formula>M24=""</formula>
    </cfRule>
  </conditionalFormatting>
  <conditionalFormatting sqref="T6:T13">
    <cfRule type="expression" dxfId="50" priority="7" stopIfTrue="1">
      <formula>$T6=""</formula>
    </cfRule>
  </conditionalFormatting>
  <conditionalFormatting sqref="T29:T30">
    <cfRule type="expression" dxfId="49" priority="14" stopIfTrue="1">
      <formula>$T29=""</formula>
    </cfRule>
  </conditionalFormatting>
  <dataValidations count="1">
    <dataValidation type="list" allowBlank="1" showInputMessage="1" showErrorMessage="1" sqref="K28" xr:uid="{00000000-0002-0000-0700-000000000000}">
      <formula1>"X"</formula1>
    </dataValidation>
  </dataValidations>
  <hyperlinks>
    <hyperlink ref="B8" location="AuditServices" display="AUDIT SERVICES" xr:uid="{00000000-0004-0000-0700-000000000000}"/>
    <hyperlink ref="B13" location="CapitalAcquisitions" display="CAPITAL ACQUISITIONS" xr:uid="{00000000-0004-0000-0700-000001000000}"/>
    <hyperlink ref="B22:F22" location="InvestmentInCapitalAssets" display="INVESTMENT IN CAPITAL ASSETS AS OF JUNE 30, 2013" xr:uid="{00000000-0004-0000-0700-000002000000}"/>
    <hyperlink ref="B31:D31" location="CurrentExpensesByCategory" display="CURRENT EXPENSES BY CATEGORY" xr:uid="{00000000-0004-0000-0700-000003000000}"/>
    <hyperlink ref="J17:L18" location="TeacherSalaries" display="TEACHER SALARIES (1)" xr:uid="{00000000-0004-0000-0700-000004000000}"/>
    <hyperlink ref="J19:L19" location="TeacherSalariesLine1" display="1." xr:uid="{00000000-0004-0000-0700-000005000000}"/>
    <hyperlink ref="J20:L20" location="TeacherSalariesLine2" display="2." xr:uid="{00000000-0004-0000-0700-000006000000}"/>
    <hyperlink ref="J21:L21" location="TeacherSalariesLine3" display="3." xr:uid="{00000000-0004-0000-0700-000007000000}"/>
    <hyperlink ref="J22:L22" location="TeacherSalariesLine4" display="4." xr:uid="{00000000-0004-0000-0700-000008000000}"/>
    <hyperlink ref="B19" location="CapitalAcquisitionsLine5" display="5.  0198  Construction in Progress" xr:uid="{00000000-0004-0000-0700-000009000000}"/>
    <hyperlink ref="B28" location="InvestmentInCapitalAssetsLine5" display="5.  0198  Construction in Progress" xr:uid="{00000000-0004-0000-0700-00000A000000}"/>
    <hyperlink ref="B40:D40" location="CurrentExpensesbyCategoryLines7and8" display="7. Current Expenses from Federal Projects, excluding those projects intended to replace local tax revenues (e.g., most Impact Aid Projects)" xr:uid="{00000000-0004-0000-0700-00000C000000}"/>
    <hyperlink ref="B41:E41" location="CurrentExpensesbyCategoryLines7and8" display="8. Current Expenses from State and Local Projects, including those projects intended to replace local tax revenues (e.g., most Impact Aid Projects)" xr:uid="{00000000-0004-0000-0700-00000D000000}"/>
    <hyperlink ref="K23:L24" location="TeacherSalariesLine5" display="Cocurr. Act., Athletics, &amp; Other (Program 600)" xr:uid="{00000000-0004-0000-0700-00000E000000}"/>
    <hyperlink ref="J27:R27" location="AverageTeacherSalary" display="AVERAGE TEACHER SALARY (A.R.S. §15-189.05, as added by Laws 2018, Ch. 285, §3)" xr:uid="{00000000-0004-0000-0700-00000F000000}"/>
    <hyperlink ref="J23" location="TeacherSalariesLine5" display="5." xr:uid="{00000000-0004-0000-0700-000010000000}"/>
    <hyperlink ref="B5" location="AuditServices" display="Instructions" xr:uid="{CB891C10-CC7D-4CE2-8277-7C44496949B8}"/>
    <hyperlink ref="J6:Q8" location="FullTimeEquivalentTeachers" display="1." xr:uid="{00000000-0004-0000-0700-00000B000000}"/>
  </hyperlinks>
  <pageMargins left="0.7" right="0.7" top="0.75" bottom="0.75" header="0.3" footer="0.3"/>
  <pageSetup scale="62" orientation="landscape" r:id="rId1"/>
  <headerFooter>
    <oddFooter>&amp;LRev. 8/25 Arizona Department of Education and Auditor General&amp;CFY 2025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C3BDB-7179-4DD0-A943-0C76DE5F692A}">
  <sheetPr>
    <pageSetUpPr fitToPage="1"/>
  </sheetPr>
  <dimension ref="A1:AA26"/>
  <sheetViews>
    <sheetView showGridLines="0" workbookViewId="0">
      <selection activeCell="T17" sqref="T17"/>
    </sheetView>
  </sheetViews>
  <sheetFormatPr defaultColWidth="9.33203125" defaultRowHeight="12.75" customHeight="1" x14ac:dyDescent="0.25"/>
  <cols>
    <col min="1" max="1" width="2.77734375" customWidth="1"/>
    <col min="2" max="2" width="9.77734375" customWidth="1"/>
    <col min="3" max="3" width="10.33203125" customWidth="1"/>
    <col min="4" max="4" width="10.77734375" customWidth="1"/>
    <col min="5" max="17" width="6.77734375" customWidth="1"/>
    <col min="18" max="18" width="9.6640625" customWidth="1"/>
    <col min="19" max="19" width="10.77734375" customWidth="1"/>
    <col min="20" max="20" width="10.44140625" customWidth="1"/>
    <col min="21" max="22" width="11" customWidth="1"/>
    <col min="23" max="23" width="3.77734375" customWidth="1"/>
    <col min="24" max="24" width="9.33203125" customWidth="1"/>
  </cols>
  <sheetData>
    <row r="1" spans="1:27" ht="12.75" customHeight="1" x14ac:dyDescent="0.25">
      <c r="A1" s="551" t="s">
        <v>0</v>
      </c>
      <c r="D1" s="802" t="str">
        <f>'Cover Page'!D1</f>
        <v>Highland Prep West</v>
      </c>
      <c r="E1" s="802"/>
      <c r="F1" s="802"/>
      <c r="G1" s="802"/>
      <c r="K1" s="64" t="s">
        <v>1</v>
      </c>
      <c r="L1" s="802" t="str">
        <f>'Cover Page'!M1</f>
        <v>Maricopa</v>
      </c>
      <c r="M1" s="802"/>
      <c r="P1" s="71"/>
      <c r="U1" s="64" t="s">
        <v>2</v>
      </c>
      <c r="V1" s="210" t="str">
        <f>'Cover Page'!R1</f>
        <v>078419000</v>
      </c>
    </row>
    <row r="2" spans="1:27" ht="12.75" customHeight="1" x14ac:dyDescent="0.25">
      <c r="Q2" s="71"/>
      <c r="T2" s="71"/>
    </row>
    <row r="3" spans="1:27" ht="12.75" customHeight="1" x14ac:dyDescent="0.25">
      <c r="A3" s="3" t="s">
        <v>278</v>
      </c>
      <c r="B3" s="4"/>
      <c r="C3" s="4"/>
      <c r="F3" s="884" t="s">
        <v>726</v>
      </c>
      <c r="G3" s="884"/>
      <c r="H3" s="884"/>
      <c r="K3" s="71"/>
      <c r="O3" s="71"/>
      <c r="P3" s="71"/>
      <c r="Q3" s="71"/>
      <c r="R3" s="71"/>
      <c r="S3" s="71"/>
      <c r="T3" s="71"/>
      <c r="U3" s="71"/>
      <c r="Y3" s="64"/>
    </row>
    <row r="4" spans="1:27" ht="6" customHeight="1" x14ac:dyDescent="0.25"/>
    <row r="5" spans="1:27" ht="12.75" customHeight="1" x14ac:dyDescent="0.25">
      <c r="A5" t="s">
        <v>279</v>
      </c>
    </row>
    <row r="6" spans="1:27" ht="12.75" customHeight="1" x14ac:dyDescent="0.25">
      <c r="E6" s="822" t="s">
        <v>280</v>
      </c>
      <c r="F6" s="837"/>
      <c r="G6" s="837"/>
      <c r="H6" s="837"/>
      <c r="I6" s="837"/>
      <c r="J6" s="837"/>
      <c r="K6" s="837"/>
      <c r="L6" s="837"/>
      <c r="M6" s="837"/>
      <c r="N6" s="837"/>
      <c r="O6" s="837"/>
      <c r="P6" s="837"/>
      <c r="Q6" s="837"/>
      <c r="R6" s="823"/>
    </row>
    <row r="7" spans="1:27" ht="12.75" customHeight="1" x14ac:dyDescent="0.25">
      <c r="B7" t="s">
        <v>281</v>
      </c>
      <c r="E7" s="583" t="s">
        <v>282</v>
      </c>
      <c r="F7" s="583">
        <v>1</v>
      </c>
      <c r="G7" s="583">
        <v>2</v>
      </c>
      <c r="H7" s="583">
        <v>3</v>
      </c>
      <c r="I7" s="583">
        <v>4</v>
      </c>
      <c r="J7" s="583">
        <v>5</v>
      </c>
      <c r="K7" s="583">
        <v>6</v>
      </c>
      <c r="L7" s="583">
        <v>7</v>
      </c>
      <c r="M7" s="583">
        <v>8</v>
      </c>
      <c r="N7" s="583">
        <v>9</v>
      </c>
      <c r="O7" s="583">
        <v>10</v>
      </c>
      <c r="P7" s="583">
        <v>11</v>
      </c>
      <c r="Q7" s="583">
        <v>12</v>
      </c>
      <c r="R7" s="583" t="s">
        <v>283</v>
      </c>
      <c r="S7" s="4"/>
      <c r="T7" s="4"/>
      <c r="AA7" s="53"/>
    </row>
    <row r="8" spans="1:27" ht="12.75" customHeight="1" x14ac:dyDescent="0.25">
      <c r="B8" t="s">
        <v>284</v>
      </c>
      <c r="E8" s="54"/>
      <c r="F8" s="54"/>
      <c r="G8" s="54"/>
      <c r="H8" s="54"/>
      <c r="I8" s="54"/>
      <c r="J8" s="54"/>
      <c r="K8" s="54"/>
      <c r="L8" s="54"/>
      <c r="M8" s="54"/>
      <c r="N8" s="54"/>
      <c r="O8" s="54"/>
      <c r="P8" s="54"/>
      <c r="Q8" s="54"/>
      <c r="R8" s="554">
        <f>SUM(E8:Q8)</f>
        <v>0</v>
      </c>
      <c r="S8" s="246" t="s">
        <v>24</v>
      </c>
      <c r="AA8" s="53" t="str">
        <f>IF(OR(E8="",F8="",G8="",H8="",I8="",J8="",K8="",L8="",M8="",N8="",O8="",P8="",Q8="",E9="",F9="",G9="",H9="",I9="",J9="",K9="",L9="",M9="",N9="",O9="",P9="",Q9=""),"yes","")</f>
        <v>yes</v>
      </c>
    </row>
    <row r="9" spans="1:27" ht="12.75" customHeight="1" x14ac:dyDescent="0.25">
      <c r="B9" t="s">
        <v>285</v>
      </c>
      <c r="E9" s="54"/>
      <c r="F9" s="54"/>
      <c r="G9" s="54"/>
      <c r="H9" s="54"/>
      <c r="I9" s="54"/>
      <c r="J9" s="54"/>
      <c r="K9" s="54"/>
      <c r="L9" s="54"/>
      <c r="M9" s="54"/>
      <c r="N9" s="54"/>
      <c r="O9" s="54"/>
      <c r="P9" s="54"/>
      <c r="Q9" s="54"/>
      <c r="R9" s="554">
        <f>SUM(E9:Q9)</f>
        <v>0</v>
      </c>
      <c r="S9" s="246" t="s">
        <v>26</v>
      </c>
      <c r="AA9" s="53" t="str">
        <f>IF(OR(E10="",F10="",G10="",H10="",I10="",J10="",K10="",L10="",M10="",N10="",O10="",P10="",Q10=""),"yes","")</f>
        <v>yes</v>
      </c>
    </row>
    <row r="10" spans="1:27" ht="12.75" customHeight="1" thickBot="1" x14ac:dyDescent="0.3">
      <c r="B10" t="s">
        <v>286</v>
      </c>
      <c r="E10" s="58"/>
      <c r="F10" s="58"/>
      <c r="G10" s="58"/>
      <c r="H10" s="58"/>
      <c r="I10" s="58"/>
      <c r="J10" s="58"/>
      <c r="K10" s="58"/>
      <c r="L10" s="58"/>
      <c r="M10" s="58"/>
      <c r="N10" s="58"/>
      <c r="O10" s="58"/>
      <c r="P10" s="58"/>
      <c r="Q10" s="58"/>
      <c r="R10" s="227">
        <f>SUM(E10:Q10)</f>
        <v>0</v>
      </c>
      <c r="S10" s="246" t="s">
        <v>28</v>
      </c>
      <c r="AA10" s="53"/>
    </row>
    <row r="11" spans="1:27" ht="12.75" customHeight="1" x14ac:dyDescent="0.25">
      <c r="B11" t="s">
        <v>287</v>
      </c>
      <c r="E11" s="879">
        <f t="shared" ref="E11:Q11" si="0">SUM(E8:E10)</f>
        <v>0</v>
      </c>
      <c r="F11" s="879">
        <f t="shared" si="0"/>
        <v>0</v>
      </c>
      <c r="G11" s="879">
        <f t="shared" si="0"/>
        <v>0</v>
      </c>
      <c r="H11" s="879">
        <f t="shared" si="0"/>
        <v>0</v>
      </c>
      <c r="I11" s="879">
        <f t="shared" si="0"/>
        <v>0</v>
      </c>
      <c r="J11" s="879">
        <f t="shared" ref="J11" si="1">SUM(J8:J10)</f>
        <v>0</v>
      </c>
      <c r="K11" s="879">
        <f t="shared" si="0"/>
        <v>0</v>
      </c>
      <c r="L11" s="879">
        <f t="shared" si="0"/>
        <v>0</v>
      </c>
      <c r="M11" s="879">
        <f>SUM(M8:M10)</f>
        <v>0</v>
      </c>
      <c r="N11" s="879">
        <f t="shared" si="0"/>
        <v>0</v>
      </c>
      <c r="O11" s="879">
        <f t="shared" si="0"/>
        <v>0</v>
      </c>
      <c r="P11" s="879">
        <f t="shared" si="0"/>
        <v>0</v>
      </c>
      <c r="Q11" s="879">
        <f t="shared" si="0"/>
        <v>0</v>
      </c>
      <c r="R11" s="879">
        <f>SUM(E11:Q11)</f>
        <v>0</v>
      </c>
      <c r="S11" s="246"/>
      <c r="AA11" s="53" t="str">
        <f>IF(OR(D17="",D18="",T16="",T17="",T18="",T19="",T20="",T21="",T22="",T25=""),"yes","")</f>
        <v>yes</v>
      </c>
    </row>
    <row r="12" spans="1:27" ht="13.8" thickBot="1" x14ac:dyDescent="0.3">
      <c r="B12" t="s">
        <v>288</v>
      </c>
      <c r="E12" s="880"/>
      <c r="F12" s="880"/>
      <c r="G12" s="880"/>
      <c r="H12" s="880"/>
      <c r="I12" s="880"/>
      <c r="J12" s="880"/>
      <c r="K12" s="880"/>
      <c r="L12" s="880"/>
      <c r="M12" s="880"/>
      <c r="N12" s="880"/>
      <c r="O12" s="880"/>
      <c r="P12" s="880"/>
      <c r="Q12" s="880"/>
      <c r="R12" s="880"/>
      <c r="S12" s="246" t="s">
        <v>31</v>
      </c>
      <c r="AA12" s="53" t="str">
        <f>IF(AND(AA8="",AA9="",AA11=""),"","yes")</f>
        <v>yes</v>
      </c>
    </row>
    <row r="13" spans="1:27" ht="16.5" customHeight="1" thickTop="1" x14ac:dyDescent="0.25">
      <c r="AA13" s="53"/>
    </row>
    <row r="14" spans="1:27" ht="12.75" customHeight="1" x14ac:dyDescent="0.25">
      <c r="A14" s="881" t="s">
        <v>289</v>
      </c>
      <c r="B14" s="881"/>
      <c r="C14" s="881"/>
      <c r="D14" s="881"/>
      <c r="E14" s="881"/>
      <c r="G14" s="247"/>
      <c r="AA14" s="53"/>
    </row>
    <row r="15" spans="1:27" ht="25.95" customHeight="1" x14ac:dyDescent="0.25">
      <c r="A15" s="214"/>
      <c r="B15" s="883" t="s">
        <v>290</v>
      </c>
      <c r="C15" s="883"/>
      <c r="D15" s="883"/>
      <c r="E15" s="883"/>
      <c r="G15" s="248"/>
      <c r="K15" s="543" t="s">
        <v>291</v>
      </c>
      <c r="L15" s="543"/>
      <c r="M15" s="543"/>
      <c r="N15" s="543"/>
      <c r="O15" s="543"/>
      <c r="P15" s="543"/>
      <c r="Q15" s="543"/>
      <c r="R15" s="543"/>
      <c r="S15" s="249" t="s">
        <v>292</v>
      </c>
      <c r="T15" s="250" t="s">
        <v>293</v>
      </c>
      <c r="AA15" s="53"/>
    </row>
    <row r="16" spans="1:27" ht="12.75" customHeight="1" x14ac:dyDescent="0.25">
      <c r="B16" s="569" t="s">
        <v>294</v>
      </c>
      <c r="K16" s="68" t="s">
        <v>24</v>
      </c>
      <c r="L16" s="881" t="s">
        <v>295</v>
      </c>
      <c r="M16" s="881"/>
      <c r="N16" s="881"/>
      <c r="O16" s="881"/>
      <c r="P16" s="881"/>
      <c r="S16" s="552">
        <f>'[1]Page 2'!$N$5</f>
        <v>35000</v>
      </c>
      <c r="T16" s="56">
        <f>'Page 2'!J37</f>
        <v>37504</v>
      </c>
      <c r="U16" s="246" t="s">
        <v>24</v>
      </c>
    </row>
    <row r="17" spans="1:21" ht="12.75" customHeight="1" x14ac:dyDescent="0.25">
      <c r="B17" t="s">
        <v>296</v>
      </c>
      <c r="C17" s="7" t="s">
        <v>16</v>
      </c>
      <c r="D17" s="29"/>
      <c r="K17" s="68" t="s">
        <v>26</v>
      </c>
      <c r="L17" s="881" t="s">
        <v>297</v>
      </c>
      <c r="M17" s="881"/>
      <c r="N17" s="881"/>
      <c r="O17" s="178"/>
      <c r="S17" s="552">
        <f>[1]!P200GiftedEducation</f>
        <v>0</v>
      </c>
      <c r="T17" s="56"/>
      <c r="U17" s="246" t="s">
        <v>26</v>
      </c>
    </row>
    <row r="18" spans="1:21" ht="12.75" customHeight="1" x14ac:dyDescent="0.25">
      <c r="B18" s="246" t="s">
        <v>298</v>
      </c>
      <c r="C18" s="7" t="s">
        <v>16</v>
      </c>
      <c r="D18" s="30"/>
      <c r="K18" s="68" t="s">
        <v>28</v>
      </c>
      <c r="L18" t="s">
        <v>299</v>
      </c>
      <c r="S18" s="556">
        <f>[1]!P200ELLIncrementalCosts</f>
        <v>0</v>
      </c>
      <c r="T18" s="56"/>
      <c r="U18" s="246" t="s">
        <v>28</v>
      </c>
    </row>
    <row r="19" spans="1:21" ht="12.75" customHeight="1" thickBot="1" x14ac:dyDescent="0.3">
      <c r="B19" t="s">
        <v>300</v>
      </c>
      <c r="C19" s="7" t="s">
        <v>16</v>
      </c>
      <c r="D19" s="251">
        <f>SUM(D17:D18)</f>
        <v>0</v>
      </c>
      <c r="E19" s="178"/>
      <c r="K19" s="68" t="s">
        <v>31</v>
      </c>
      <c r="L19" t="s">
        <v>301</v>
      </c>
      <c r="S19" s="552">
        <f>[1]!P200ELLCompensatoryInstruction</f>
        <v>0</v>
      </c>
      <c r="T19" s="56"/>
      <c r="U19" s="246" t="s">
        <v>31</v>
      </c>
    </row>
    <row r="20" spans="1:21" ht="12.75" customHeight="1" thickTop="1" x14ac:dyDescent="0.25">
      <c r="K20" s="68" t="s">
        <v>33</v>
      </c>
      <c r="L20" t="s">
        <v>302</v>
      </c>
      <c r="S20" s="552">
        <f>[1]!P200RemedialEducation</f>
        <v>0</v>
      </c>
      <c r="T20" s="56"/>
      <c r="U20" s="246" t="s">
        <v>33</v>
      </c>
    </row>
    <row r="21" spans="1:21" ht="13.2" x14ac:dyDescent="0.25">
      <c r="K21" s="68" t="s">
        <v>35</v>
      </c>
      <c r="L21" t="s">
        <v>303</v>
      </c>
      <c r="S21" s="552">
        <f>[1]!P200VocationalandTechnologicalEd</f>
        <v>0</v>
      </c>
      <c r="T21" s="56"/>
      <c r="U21" s="246" t="s">
        <v>35</v>
      </c>
    </row>
    <row r="22" spans="1:21" ht="12" customHeight="1" thickBot="1" x14ac:dyDescent="0.3">
      <c r="K22" s="68" t="s">
        <v>36</v>
      </c>
      <c r="L22" t="s">
        <v>304</v>
      </c>
      <c r="S22" s="221">
        <f>[1]!P200CareerEducation</f>
        <v>0</v>
      </c>
      <c r="T22" s="59"/>
      <c r="U22" s="246" t="s">
        <v>36</v>
      </c>
    </row>
    <row r="23" spans="1:21" ht="12.75" customHeight="1" thickBot="1" x14ac:dyDescent="0.3">
      <c r="K23" s="68" t="s">
        <v>38</v>
      </c>
      <c r="L23" s="882" t="s">
        <v>305</v>
      </c>
      <c r="M23" s="882"/>
      <c r="N23" s="882"/>
      <c r="O23" s="882"/>
      <c r="P23" s="882"/>
      <c r="Q23" s="8"/>
      <c r="S23" s="252">
        <f>SUM(S16:S22)</f>
        <v>35000</v>
      </c>
      <c r="T23" s="252">
        <f>SUM(T16:T22)</f>
        <v>37504</v>
      </c>
      <c r="U23" s="246" t="s">
        <v>38</v>
      </c>
    </row>
    <row r="24" spans="1:21" ht="12.75" customHeight="1" thickTop="1" x14ac:dyDescent="0.25">
      <c r="A24" s="7"/>
      <c r="B24" s="808"/>
      <c r="C24" s="808"/>
      <c r="D24" s="808"/>
      <c r="E24" s="808"/>
      <c r="F24" s="808"/>
      <c r="G24" s="808"/>
      <c r="H24" s="808"/>
      <c r="K24" s="68"/>
      <c r="U24" s="246"/>
    </row>
    <row r="25" spans="1:21" ht="12.75" customHeight="1" x14ac:dyDescent="0.25">
      <c r="A25" s="7"/>
      <c r="B25" s="808"/>
      <c r="C25" s="808"/>
      <c r="D25" s="808"/>
      <c r="E25" s="808"/>
      <c r="F25" s="808"/>
      <c r="G25" s="808"/>
      <c r="H25" s="808"/>
      <c r="K25" s="68" t="s">
        <v>40</v>
      </c>
      <c r="L25" s="875" t="s">
        <v>306</v>
      </c>
      <c r="M25" s="875"/>
      <c r="N25" s="875"/>
      <c r="O25" s="875"/>
      <c r="P25" s="875"/>
      <c r="Q25" s="875"/>
      <c r="R25" s="876"/>
      <c r="S25" s="873">
        <f>'[1]Page 2'!$N$14</f>
        <v>0</v>
      </c>
      <c r="T25" s="877"/>
      <c r="U25" s="246" t="s">
        <v>40</v>
      </c>
    </row>
    <row r="26" spans="1:21" ht="19.5" customHeight="1" thickBot="1" x14ac:dyDescent="0.3">
      <c r="A26" s="68"/>
      <c r="L26" s="875"/>
      <c r="M26" s="875"/>
      <c r="N26" s="875"/>
      <c r="O26" s="875"/>
      <c r="P26" s="875"/>
      <c r="Q26" s="875"/>
      <c r="R26" s="876"/>
      <c r="S26" s="874"/>
      <c r="T26" s="878"/>
    </row>
  </sheetData>
  <sheetProtection sheet="1" formatCells="0" formatColumns="0" formatRows="0"/>
  <mergeCells count="28">
    <mergeCell ref="F3:H3"/>
    <mergeCell ref="D1:G1"/>
    <mergeCell ref="L1:M1"/>
    <mergeCell ref="E11:E12"/>
    <mergeCell ref="F11:F12"/>
    <mergeCell ref="G11:G12"/>
    <mergeCell ref="H11:H12"/>
    <mergeCell ref="J11:J12"/>
    <mergeCell ref="K11:K12"/>
    <mergeCell ref="L11:L12"/>
    <mergeCell ref="I11:I12"/>
    <mergeCell ref="E6:R6"/>
    <mergeCell ref="M11:M12"/>
    <mergeCell ref="N11:N12"/>
    <mergeCell ref="O11:O12"/>
    <mergeCell ref="P11:P12"/>
    <mergeCell ref="B24:H24"/>
    <mergeCell ref="B25:H25"/>
    <mergeCell ref="L17:N17"/>
    <mergeCell ref="L23:P23"/>
    <mergeCell ref="A14:E14"/>
    <mergeCell ref="B15:E15"/>
    <mergeCell ref="L16:P16"/>
    <mergeCell ref="S25:S26"/>
    <mergeCell ref="L25:R26"/>
    <mergeCell ref="T25:T26"/>
    <mergeCell ref="Q11:Q12"/>
    <mergeCell ref="R11:R12"/>
  </mergeCells>
  <conditionalFormatting sqref="D17:D18">
    <cfRule type="expression" dxfId="48" priority="2" stopIfTrue="1">
      <formula>$D17=""</formula>
    </cfRule>
  </conditionalFormatting>
  <conditionalFormatting sqref="E8:Q10">
    <cfRule type="expression" dxfId="47" priority="5" stopIfTrue="1">
      <formula>E8=""</formula>
    </cfRule>
  </conditionalFormatting>
  <conditionalFormatting sqref="T16:T22 T25">
    <cfRule type="expression" dxfId="46" priority="3" stopIfTrue="1">
      <formula>$T16=""</formula>
    </cfRule>
  </conditionalFormatting>
  <hyperlinks>
    <hyperlink ref="K17:N17" location="TotalActualGiftedExpenses" display="15." xr:uid="{00000000-0004-0000-0800-000000000000}"/>
    <hyperlink ref="K23:P23" r:id="rId1" display="22." xr:uid="{00000000-0004-0000-0800-000001000000}"/>
    <hyperlink ref="A14:E15" location="TotalActualGiftedExpenses" display="B. EXPENSES FOR GIFTED PUPILS " xr:uid="{00000000-0004-0000-0800-000002000000}"/>
    <hyperlink ref="L16:P16" location="AllDisabilityClassifications" display="Total All Disability Classifications" xr:uid="{00000000-0004-0000-0800-000003000000}"/>
    <hyperlink ref="K25" r:id="rId2" display="22." xr:uid="{00000000-0004-0000-0800-000004000000}"/>
    <hyperlink ref="L25:R26" location="Section_C_Transportation" display="Expenses incurred for transporting students with disabilities (as defined in A.R.S. §15-761) unique to the IEP" xr:uid="{00000000-0004-0000-0800-000005000000}"/>
    <hyperlink ref="L15" location="SpecialEdProgramsByType" display="D. SPECIAL EDUCATION PROGRAMS BY TYPE" xr:uid="{00000000-0004-0000-0800-000006000000}"/>
    <hyperlink ref="S15" location="SpecialEdProgramsByType" display="Program 200 budget" xr:uid="{00000000-0004-0000-0800-000007000000}"/>
    <hyperlink ref="T15" location="SpecialEdProgramsByType" display="Program 200 actual" xr:uid="{00000000-0004-0000-0800-000008000000}"/>
    <hyperlink ref="K15:R15" location="SpecialEdProgramsByType" display="C. Special education programs by type" xr:uid="{00000000-0004-0000-0800-000009000000}"/>
    <hyperlink ref="F3:H3" location="TotalActualGiftedExpenses" display="Instructions" xr:uid="{BCB3B9A7-2FBF-47FB-A6F2-A0A0568F4753}"/>
  </hyperlinks>
  <pageMargins left="0.7" right="0.7" top="0.75" bottom="0.75" header="0.3" footer="0.3"/>
  <pageSetup scale="77" orientation="landscape" r:id="rId3"/>
  <headerFooter>
    <oddFooter>&amp;LRev. 8/25 Arizona Department of Education and Auditor General&amp;CFY 2025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450-DE68-4942-B800-97A2E5966727}">
  <sheetPr>
    <pageSetUpPr fitToPage="1"/>
  </sheetPr>
  <dimension ref="A1:AC42"/>
  <sheetViews>
    <sheetView showGridLines="0" topLeftCell="A4" workbookViewId="0">
      <selection activeCell="N25" sqref="N25"/>
    </sheetView>
  </sheetViews>
  <sheetFormatPr defaultColWidth="9.33203125" defaultRowHeight="13.2" x14ac:dyDescent="0.25"/>
  <cols>
    <col min="1" max="1" width="21.33203125" customWidth="1"/>
    <col min="2" max="2" width="19.33203125" customWidth="1"/>
    <col min="3" max="3" width="13" customWidth="1"/>
    <col min="4" max="4" width="3.77734375" style="7" customWidth="1"/>
    <col min="5" max="12" width="13.77734375" customWidth="1"/>
    <col min="13" max="13" width="15.33203125" customWidth="1"/>
    <col min="14" max="14" width="13.77734375" customWidth="1"/>
    <col min="15" max="15" width="3.33203125" bestFit="1" customWidth="1"/>
    <col min="16" max="17" width="9.33203125" customWidth="1"/>
    <col min="18" max="18" width="9.33203125" hidden="1" customWidth="1"/>
    <col min="19" max="19" width="11" hidden="1" customWidth="1"/>
    <col min="20" max="25" width="9.33203125" hidden="1" customWidth="1"/>
    <col min="26" max="26" width="9.33203125" customWidth="1"/>
  </cols>
  <sheetData>
    <row r="1" spans="1:29" x14ac:dyDescent="0.25">
      <c r="A1" s="551" t="s">
        <v>0</v>
      </c>
      <c r="B1" s="802" t="str">
        <f>'Cover Page'!D1</f>
        <v>Highland Prep West</v>
      </c>
      <c r="C1" s="802"/>
      <c r="D1" s="802"/>
      <c r="G1" s="64" t="s">
        <v>1</v>
      </c>
      <c r="H1" s="802" t="str">
        <f>'Cover Page'!M1</f>
        <v>Maricopa</v>
      </c>
      <c r="I1" s="802"/>
      <c r="M1" s="64" t="s">
        <v>2</v>
      </c>
      <c r="N1" s="2" t="str">
        <f>'Cover Page'!R1</f>
        <v>078419000</v>
      </c>
    </row>
    <row r="3" spans="1:29" x14ac:dyDescent="0.25">
      <c r="A3" s="786" t="s">
        <v>307</v>
      </c>
      <c r="B3" s="786"/>
      <c r="C3" s="786"/>
      <c r="D3" s="885"/>
      <c r="E3" s="572" t="s">
        <v>184</v>
      </c>
      <c r="F3" s="610" t="s">
        <v>308</v>
      </c>
      <c r="G3" s="572"/>
      <c r="H3" s="572" t="s">
        <v>309</v>
      </c>
      <c r="I3" s="572"/>
      <c r="J3" s="180"/>
      <c r="K3" s="179"/>
      <c r="L3" s="179" t="s">
        <v>310</v>
      </c>
      <c r="M3" s="572" t="s">
        <v>311</v>
      </c>
      <c r="N3" s="572" t="s">
        <v>187</v>
      </c>
    </row>
    <row r="4" spans="1:29" x14ac:dyDescent="0.25">
      <c r="B4" s="884" t="s">
        <v>726</v>
      </c>
      <c r="C4" s="884"/>
      <c r="E4" s="83" t="s">
        <v>190</v>
      </c>
      <c r="F4" s="611" t="s">
        <v>184</v>
      </c>
      <c r="G4" s="83" t="s">
        <v>21</v>
      </c>
      <c r="H4" s="83" t="s">
        <v>312</v>
      </c>
      <c r="I4" s="83" t="s">
        <v>313</v>
      </c>
      <c r="J4" s="886" t="s">
        <v>89</v>
      </c>
      <c r="K4" s="887"/>
      <c r="L4" s="253" t="s">
        <v>314</v>
      </c>
      <c r="M4" s="83" t="s">
        <v>315</v>
      </c>
      <c r="N4" s="83" t="s">
        <v>190</v>
      </c>
      <c r="AA4" s="550"/>
      <c r="AB4" s="53"/>
      <c r="AC4" s="53"/>
    </row>
    <row r="5" spans="1:29" x14ac:dyDescent="0.25">
      <c r="A5" s="551" t="s">
        <v>316</v>
      </c>
      <c r="E5" s="88" t="s">
        <v>99</v>
      </c>
      <c r="F5" s="612" t="s">
        <v>483</v>
      </c>
      <c r="G5" s="88" t="s">
        <v>99</v>
      </c>
      <c r="H5" s="88" t="s">
        <v>99</v>
      </c>
      <c r="I5" s="88" t="s">
        <v>99</v>
      </c>
      <c r="J5" s="583" t="s">
        <v>98</v>
      </c>
      <c r="K5" s="583" t="s">
        <v>23</v>
      </c>
      <c r="L5" s="88" t="s">
        <v>317</v>
      </c>
      <c r="M5" s="88" t="s">
        <v>99</v>
      </c>
      <c r="N5" s="88" t="s">
        <v>99</v>
      </c>
      <c r="T5" s="550"/>
      <c r="AB5" s="53"/>
      <c r="AC5" s="53"/>
    </row>
    <row r="6" spans="1:29" x14ac:dyDescent="0.25">
      <c r="A6" t="s">
        <v>318</v>
      </c>
      <c r="D6" s="7" t="s">
        <v>24</v>
      </c>
      <c r="E6" s="552">
        <f>[2]!FP11001130EndBal</f>
        <v>0</v>
      </c>
      <c r="F6" s="56"/>
      <c r="G6" s="552">
        <f>-(SUMIFS('Accounting data'!$G$2:$G$37000,'Accounting data'!$H$2:$H$37000,"1100*",'Accounting data'!$K$2:$K$37000,"1*")+SUMIFS('Accounting data'!$G$2:$G$37000,'Accounting data'!$H$2:$H$37000,"1100*",'Accounting data'!$K$2:$K$37000,"2*")+SUMIFS('Accounting data'!$G$2:$G$37000,'Accounting data'!$H$2:$H$37000,"1100*",'Accounting data'!$K$2:$K$37000,"3*")+SUMIFS('Accounting data'!$G$2:$G$37000,'Accounting data'!$H$2:$H$37000,"1100*",'Accounting data'!$K$2:$K$37000,"4*")+SUMIFS('Accounting data'!$G$2:$G$37000,'Accounting data'!$H$2:$H$37000,"1100*",'Accounting data'!$K$2:$K$37000,"Other*"))</f>
        <v>51833</v>
      </c>
      <c r="H6" s="554">
        <f>SUMIFS('Accounting data'!$G$2:$G$37000,'Accounting data'!$H$2:$H$37000,"1100*",'Accounting data'!$K$2:$K$37000,"69*")</f>
        <v>0</v>
      </c>
      <c r="I6" s="54"/>
      <c r="J6" s="552">
        <f>[1]!FP11001130TitleI</f>
        <v>65000</v>
      </c>
      <c r="K6" s="554">
        <f>SUMIFS('Accounting data'!$G$2:$G$37000,'Accounting data'!$H$2:$H$37000,"1100*",'Accounting data'!$K$2:$K$37000,"6*")-SUMIFS('Accounting data'!$G$2:$G$37000,'Accounting data'!$H$2:$H$37000,"1100*",'Accounting data'!$K$2:$K$37000,"69*")-SUMIFS('Accounting data'!$G$2:$G$37000,'Accounting data'!$H$2:$H$37000,"1100*",'Accounting data'!$K$2:$K$37000,"67*")</f>
        <v>51833</v>
      </c>
      <c r="L6" s="254"/>
      <c r="M6" s="54"/>
      <c r="N6" s="554">
        <f>SUM(IF(F6="",E6,F6)+G6-H6-I6-K6-M6)</f>
        <v>0</v>
      </c>
      <c r="O6" s="220" t="s">
        <v>24</v>
      </c>
      <c r="P6" s="31"/>
      <c r="AB6" s="53"/>
      <c r="AC6" s="53" t="str">
        <f>IF(OR(I6="",I7="",I8="",I9="",I10="",I11="",I12="",I13="",I14="",I15="",I16="",I17="",I18="",I19="",I20="",I21="",I22=""),"yes","")</f>
        <v>yes</v>
      </c>
    </row>
    <row r="7" spans="1:29" x14ac:dyDescent="0.25">
      <c r="A7" t="s">
        <v>319</v>
      </c>
      <c r="D7" s="7" t="s">
        <v>26</v>
      </c>
      <c r="E7" s="552">
        <f>[2]!FP11401150EndBal</f>
        <v>0</v>
      </c>
      <c r="F7" s="56"/>
      <c r="G7" s="552">
        <f>-(SUMIFS('Accounting data'!$G$2:$G$37000,'Accounting data'!$H$2:$H$37000,"1140*",'Accounting data'!$K$2:$K$37000,"1*")+SUMIFS('Accounting data'!$G$2:$G$37000,'Accounting data'!$H$2:$H$37000,"1140*",'Accounting data'!$K$2:$K$37000,"2*")+SUMIFS('Accounting data'!$G$2:$G$37000,'Accounting data'!$H$2:$H$37000,"1140*",'Accounting data'!$K$2:$K$37000,"3*")+SUMIFS('Accounting data'!$G$2:$G$37000,'Accounting data'!$H$2:$H$37000,"1140*",'Accounting data'!$K$2:$K$37000,"4*")+SUMIFS('Accounting data'!$G$2:$G$37000,'Accounting data'!$H$2:$H$37000,"1140*",'Accounting data'!$K$2:$K$37000,"Other*"))</f>
        <v>3600</v>
      </c>
      <c r="H7" s="554">
        <f>SUMIFS('Accounting data'!$G$2:$G$37000,'Accounting data'!$H$2:$H$37000,"1140*",'Accounting data'!$K$2:$K$37000,"69*")</f>
        <v>0</v>
      </c>
      <c r="I7" s="54"/>
      <c r="J7" s="552">
        <f>[1]!FP11401150TitleII</f>
        <v>0</v>
      </c>
      <c r="K7" s="554">
        <f>SUMIFS('Accounting data'!$G$2:$G$37000,'Accounting data'!$H$2:$H$37000,"1140*",'Accounting data'!$K$2:$K$37000,"6*")-SUMIFS('Accounting data'!$G$2:$G$37000,'Accounting data'!$H$2:$H$37000,"1140*",'Accounting data'!$K$2:$K$37000,"69*")-SUMIFS('Accounting data'!$G$2:$G$37000,'Accounting data'!$H$2:$H$37000,"1140*",'Accounting data'!$K$2:$K$37000,"67*")</f>
        <v>3600</v>
      </c>
      <c r="L7" s="254"/>
      <c r="M7" s="54"/>
      <c r="N7" s="554">
        <f>SUM(IF(F7="",E7,F7)+G7-H7-I7-K7-M7)</f>
        <v>0</v>
      </c>
      <c r="O7" t="s">
        <v>26</v>
      </c>
      <c r="AB7" s="53"/>
      <c r="AC7" s="53" t="str">
        <f>IF(OR(M6="",M7="",M8="",M9="",M10="",M11="",M12="",M13="",M14="",M15="",M16="",M17="",M18="",M19="",M20="",M21="",M22=""),"yes","")</f>
        <v>yes</v>
      </c>
    </row>
    <row r="8" spans="1:29" x14ac:dyDescent="0.25">
      <c r="A8" t="s">
        <v>320</v>
      </c>
      <c r="D8" s="7" t="s">
        <v>28</v>
      </c>
      <c r="E8" s="552">
        <f>[2]!FP1160EndBal</f>
        <v>0</v>
      </c>
      <c r="F8" s="56"/>
      <c r="G8" s="552">
        <f>-(SUMIFS('Accounting data'!$G$2:$G$37000,'Accounting data'!$H$2:$H$37000,"1160*",'Accounting data'!$K$2:$K$37000,"1*")+SUMIFS('Accounting data'!$G$2:$G$37000,'Accounting data'!$H$2:$H$37000,"1160*",'Accounting data'!$K$2:$K$37000,"2*")+SUMIFS('Accounting data'!$G$2:$G$37000,'Accounting data'!$H$2:$H$37000,"1160*",'Accounting data'!$K$2:$K$37000,"3*")+SUMIFS('Accounting data'!$G$2:$G$37000,'Accounting data'!$H$2:$H$37000,"1160*",'Accounting data'!$K$2:$K$37000,"4*")+SUMIFS('Accounting data'!$G$2:$G$37000,'Accounting data'!$H$2:$H$37000,"1160*",'Accounting data'!$K$2:$K$37000,"Other*"))</f>
        <v>0</v>
      </c>
      <c r="H8" s="554">
        <f>SUMIFS('Accounting data'!$G$2:$G$37000,'Accounting data'!$H$2:$H$37000,"1160*",'Accounting data'!$K$2:$K$37000,"69*")</f>
        <v>0</v>
      </c>
      <c r="I8" s="54"/>
      <c r="J8" s="552">
        <f>[1]!FP1160TitleIV</f>
        <v>0</v>
      </c>
      <c r="K8" s="554">
        <f>SUMIFS('Accounting data'!$G$2:$G$37000,'Accounting data'!$H$2:$H$37000,"1160*",'Accounting data'!$K$2:$K$37000,"6*")-SUMIFS('Accounting data'!$G$2:$G$37000,'Accounting data'!$H$2:$H$37000,"1160*",'Accounting data'!$K$2:$K$37000,"69*")-SUMIFS('Accounting data'!$G$2:$G$37000,'Accounting data'!$H$2:$H$37000,"1160*",'Accounting data'!$K$2:$K$37000,"67*")</f>
        <v>0</v>
      </c>
      <c r="L8" s="254"/>
      <c r="M8" s="54"/>
      <c r="N8" s="554">
        <f t="shared" ref="N8:N21" si="0">SUM(IF(F8="",E8,F8)+G8-H8-I8-K8-M8)</f>
        <v>0</v>
      </c>
      <c r="O8" t="s">
        <v>28</v>
      </c>
      <c r="AB8" s="53"/>
      <c r="AC8" s="53" t="str">
        <f>IF(OR(I25="",J25="",M25=""),"yes","")</f>
        <v>yes</v>
      </c>
    </row>
    <row r="9" spans="1:29" x14ac:dyDescent="0.25">
      <c r="A9" t="s">
        <v>321</v>
      </c>
      <c r="D9" s="7" t="s">
        <v>31</v>
      </c>
      <c r="E9" s="552">
        <f>[2]!FP11701180EndBal</f>
        <v>0</v>
      </c>
      <c r="F9" s="56"/>
      <c r="G9" s="552">
        <f>-(SUMIFS('Accounting data'!$G$2:$G$37000,'Accounting data'!$H$2:$H$37000,"1170*",'Accounting data'!$K$2:$K$37000,"1*")+SUMIFS('Accounting data'!$G$2:$G$37000,'Accounting data'!$H$2:$H$37000,"1170*",'Accounting data'!$K$2:$K$37000,"2*")+SUMIFS('Accounting data'!$G$2:$G$37000,'Accounting data'!$H$2:$H$37000,"1170*",'Accounting data'!$K$2:$K$37000,"3*")+SUMIFS('Accounting data'!$G$2:$G$37000,'Accounting data'!$H$2:$H$37000,"1170*",'Accounting data'!$K$2:$K$37000,"4*")+SUMIFS('Accounting data'!$G$2:$G$37000,'Accounting data'!$H$2:$H$37000,"1170*",'Accounting data'!$K$2:$K$37000,"Other*"))</f>
        <v>0</v>
      </c>
      <c r="H9" s="554">
        <f>SUMIFS('Accounting data'!$G$2:$G$37000,'Accounting data'!$H$2:$H$37000,"1170*",'Accounting data'!$K$2:$K$37000,"69*")</f>
        <v>0</v>
      </c>
      <c r="I9" s="54"/>
      <c r="J9" s="552">
        <f>[1]!FP11701180TitleV</f>
        <v>0</v>
      </c>
      <c r="K9" s="554">
        <f>SUMIFS('Accounting data'!$G$2:$G$37000,'Accounting data'!$H$2:$H$37000,"1170*",'Accounting data'!$K$2:$K$37000,"6*")-SUMIFS('Accounting data'!$G$2:$G$37000,'Accounting data'!$H$2:$H$37000,"1170*",'Accounting data'!$K$2:$K$37000,"69*")-SUMIFS('Accounting data'!$G$2:$G$37000,'Accounting data'!$H$2:$H$37000,"1170*",'Accounting data'!$K$2:$K$37000,"67*")</f>
        <v>0</v>
      </c>
      <c r="L9" s="254"/>
      <c r="M9" s="54"/>
      <c r="N9" s="554">
        <f t="shared" si="0"/>
        <v>0</v>
      </c>
      <c r="O9" t="s">
        <v>31</v>
      </c>
      <c r="AB9" s="53"/>
      <c r="AC9" s="53" t="str">
        <f>IF(OR(I28="",I29="",I30="",I31="",I32="",I33="",I34="",I35="",I36="",I37="",I38="",I39=""),"yes","")</f>
        <v>yes</v>
      </c>
    </row>
    <row r="10" spans="1:29" x14ac:dyDescent="0.25">
      <c r="A10" t="s">
        <v>322</v>
      </c>
      <c r="D10" s="7" t="s">
        <v>33</v>
      </c>
      <c r="E10" s="552">
        <f>[2]!FP1190EndBal</f>
        <v>0</v>
      </c>
      <c r="F10" s="56"/>
      <c r="G10" s="552">
        <f>-(SUMIFS('Accounting data'!$G$2:$G$37000,'Accounting data'!$H$2:$H$37000,"1190*",'Accounting data'!$K$2:$K$37000,"1*")+SUMIFS('Accounting data'!$G$2:$G$37000,'Accounting data'!$H$2:$H$37000,"1190*",'Accounting data'!$K$2:$K$37000,"2*")+SUMIFS('Accounting data'!$G$2:$G$37000,'Accounting data'!$H$2:$H$37000,"1190*",'Accounting data'!$K$2:$K$37000,"3*")+SUMIFS('Accounting data'!$G$2:$G$37000,'Accounting data'!$H$2:$H$37000,"1190*",'Accounting data'!$K$2:$K$37000,"4*")+SUMIFS('Accounting data'!$G$2:$G$37000,'Accounting data'!$H$2:$H$37000,"1190*",'Accounting data'!$K$2:$K$37000,"Other*"))</f>
        <v>0</v>
      </c>
      <c r="H10" s="554">
        <f>SUMIFS('Accounting data'!$G$2:$G$37000,'Accounting data'!$H$2:$H$37000,"1190*",'Accounting data'!$K$2:$K$37000,"69*")</f>
        <v>0</v>
      </c>
      <c r="I10" s="54"/>
      <c r="J10" s="552">
        <f>[1]!FP1190TitleIII</f>
        <v>0</v>
      </c>
      <c r="K10" s="554">
        <f>SUMIFS('Accounting data'!$G$2:$G$37000,'Accounting data'!$H$2:$H$37000,"1190*",'Accounting data'!$K$2:$K$37000,"6*")-SUMIFS('Accounting data'!$G$2:$G$37000,'Accounting data'!$H$2:$H$37000,"1190*",'Accounting data'!$K$2:$K$37000,"69*")-SUMIFS('Accounting data'!$G$2:$G$37000,'Accounting data'!$H$2:$H$37000,"1190*",'Accounting data'!$K$2:$K$37000,"67*")</f>
        <v>0</v>
      </c>
      <c r="L10" s="254"/>
      <c r="M10" s="54"/>
      <c r="N10" s="554">
        <f t="shared" si="0"/>
        <v>0</v>
      </c>
      <c r="O10" t="s">
        <v>33</v>
      </c>
      <c r="AB10" s="53"/>
      <c r="AC10" s="53" t="str">
        <f>IF(OR(M28="",M29="",M30="",M31="",M32="",M33="",M34="",M35="",M36="",M37="",M38="",M39=""),"yes","")</f>
        <v>yes</v>
      </c>
    </row>
    <row r="11" spans="1:29" x14ac:dyDescent="0.25">
      <c r="A11" t="s">
        <v>323</v>
      </c>
      <c r="D11" s="7" t="s">
        <v>35</v>
      </c>
      <c r="E11" s="552">
        <f>[2]!FP1200EndBal</f>
        <v>0</v>
      </c>
      <c r="F11" s="56"/>
      <c r="G11" s="552">
        <f>-(SUMIFS('Accounting data'!$G$2:$G$37000,'Accounting data'!$H$2:$H$37000,"1200*",'Accounting data'!$K$2:$K$37000,"1*")+SUMIFS('Accounting data'!$G$2:$G$37000,'Accounting data'!$H$2:$H$37000,"1200*",'Accounting data'!$K$2:$K$37000,"2*")+SUMIFS('Accounting data'!$G$2:$G$37000,'Accounting data'!$H$2:$H$37000,"1200*",'Accounting data'!$K$2:$K$37000,"3*")+SUMIFS('Accounting data'!$G$2:$G$37000,'Accounting data'!$H$2:$H$37000,"1200*",'Accounting data'!$K$2:$K$37000,"4*")+SUMIFS('Accounting data'!$G$2:$G$37000,'Accounting data'!$H$2:$H$37000,"1200*",'Accounting data'!$K$2:$K$37000,"Other*"))</f>
        <v>0</v>
      </c>
      <c r="H11" s="554">
        <f>SUMIFS('Accounting data'!$G$2:$G$37000,'Accounting data'!$H$2:$H$37000,"1200*",'Accounting data'!$K$2:$K$37000,"69*")</f>
        <v>0</v>
      </c>
      <c r="I11" s="54"/>
      <c r="J11" s="552">
        <f>[1]!FP1200TitleVII</f>
        <v>0</v>
      </c>
      <c r="K11" s="554">
        <f>SUMIFS('Accounting data'!$G$2:$G$37000,'Accounting data'!$H$2:$H$37000,"1200*",'Accounting data'!$K$2:$K$37000,"6*")-SUMIFS('Accounting data'!$G$2:$G$37000,'Accounting data'!$H$2:$H$37000,"1200*",'Accounting data'!$K$2:$K$37000,"69*")-SUMIFS('Accounting data'!$G$2:$G$37000,'Accounting data'!$H$2:$H$37000,"1200*",'Accounting data'!$K$2:$K$37000,"67*")</f>
        <v>0</v>
      </c>
      <c r="L11" s="254"/>
      <c r="M11" s="54"/>
      <c r="N11" s="554">
        <f t="shared" si="0"/>
        <v>0</v>
      </c>
      <c r="O11" t="s">
        <v>35</v>
      </c>
      <c r="AB11" s="53"/>
      <c r="AC11" s="53" t="str">
        <f>IF(AND(AC6="",AC8="",AC9="",AC7="",AC10=""),"","yes")</f>
        <v>yes</v>
      </c>
    </row>
    <row r="12" spans="1:29" x14ac:dyDescent="0.25">
      <c r="A12" t="s">
        <v>324</v>
      </c>
      <c r="D12" s="7" t="s">
        <v>36</v>
      </c>
      <c r="E12" s="552">
        <f>[2]!FP1210EndBal</f>
        <v>0</v>
      </c>
      <c r="F12" s="56"/>
      <c r="G12" s="552">
        <f>-(SUMIFS('Accounting data'!$G$2:$G$37000,'Accounting data'!$H$2:$H$37000,"1210*",'Accounting data'!$K$2:$K$37000,"1*")+SUMIFS('Accounting data'!$G$2:$G$37000,'Accounting data'!$H$2:$H$37000,"1210*",'Accounting data'!$K$2:$K$37000,"2*")+SUMIFS('Accounting data'!$G$2:$G$37000,'Accounting data'!$H$2:$H$37000,"1210*",'Accounting data'!$K$2:$K$37000,"3*")+SUMIFS('Accounting data'!$G$2:$G$37000,'Accounting data'!$H$2:$H$37000,"1210*",'Accounting data'!$K$2:$K$37000,"4*")+SUMIFS('Accounting data'!$G$2:$G$37000,'Accounting data'!$H$2:$H$37000,"1210*",'Accounting data'!$K$2:$K$37000,"Other*"))</f>
        <v>3900</v>
      </c>
      <c r="H12" s="554">
        <f>SUMIFS('Accounting data'!$G$2:$G$37000,'Accounting data'!$H$2:$H$37000,"1210*",'Accounting data'!$K$2:$K$37000,"69*")</f>
        <v>0</v>
      </c>
      <c r="I12" s="54"/>
      <c r="J12" s="552">
        <f>[1]!FP1210TitleVI</f>
        <v>0</v>
      </c>
      <c r="K12" s="554">
        <f>SUMIFS('Accounting data'!$G$2:$G$37000,'Accounting data'!$H$2:$H$37000,"1210*",'Accounting data'!$K$2:$K$37000,"6*")-SUMIFS('Accounting data'!$G$2:$G$37000,'Accounting data'!$H$2:$H$37000,"1210*",'Accounting data'!$K$2:$K$37000,"69*")-SUMIFS('Accounting data'!$G$2:$G$37000,'Accounting data'!$H$2:$H$37000,"1210*",'Accounting data'!$K$2:$K$37000,"67*")</f>
        <v>3900</v>
      </c>
      <c r="L12" s="254"/>
      <c r="M12" s="54"/>
      <c r="N12" s="554">
        <f t="shared" si="0"/>
        <v>0</v>
      </c>
      <c r="O12" t="s">
        <v>36</v>
      </c>
      <c r="AB12" s="53"/>
      <c r="AC12" s="53"/>
    </row>
    <row r="13" spans="1:29" x14ac:dyDescent="0.25">
      <c r="A13" t="s">
        <v>325</v>
      </c>
      <c r="D13" s="7" t="s">
        <v>38</v>
      </c>
      <c r="E13" s="552">
        <f>[2]!FP1220EndBal</f>
        <v>0</v>
      </c>
      <c r="F13" s="56"/>
      <c r="G13" s="552">
        <f>-(SUMIFS('Accounting data'!$G$2:$G$37000,'Accounting data'!$H$2:$H$37000,"122*",'Accounting data'!$K$2:$K$37000,"1*")+SUMIFS('Accounting data'!$G$2:$G$37000,'Accounting data'!$H$2:$H$37000,"122*",'Accounting data'!$K$2:$K$37000,"2*")+SUMIFS('Accounting data'!$G$2:$G$37000,'Accounting data'!$H$2:$H$37000,"122*",'Accounting data'!$K$2:$K$37000,"3*")+SUMIFS('Accounting data'!$G$2:$G$37000,'Accounting data'!$H$2:$H$37000,"122*",'Accounting data'!$K$2:$K$37000,"4*")+SUMIFS('Accounting data'!$G$2:$G$37000,'Accounting data'!$H$2:$H$37000,"122*",'Accounting data'!$K$2:$K$37000,"Other*"))</f>
        <v>69916</v>
      </c>
      <c r="H13" s="552">
        <f>SUMIFS('Accounting data'!$G$2:$G$37000,'Accounting data'!$H$2:$H$37000,"122*",'Accounting data'!$K$2:$K$37000,"69*")</f>
        <v>0</v>
      </c>
      <c r="I13" s="54"/>
      <c r="J13" s="552">
        <f>[1]!FP1220IDEA</f>
        <v>50000</v>
      </c>
      <c r="K13" s="554">
        <f>SUMIFS('Accounting data'!$G$2:$G$37000,'Accounting data'!$H$2:$H$37000,"122*",'Accounting data'!$K$2:$K$37000,"6*")-SUMIFS('Accounting data'!$G$2:$G$37000,'Accounting data'!$H$2:$H$37000,"122*",'Accounting data'!$K$2:$K$37000,"69*")-SUMIFS('Accounting data'!$G$2:$G$37000,'Accounting data'!$H$2:$H$37000,"122*",'Accounting data'!$K$2:$K$37000,"67*")</f>
        <v>69916</v>
      </c>
      <c r="L13" s="254"/>
      <c r="M13" s="54"/>
      <c r="N13" s="554">
        <f t="shared" si="0"/>
        <v>0</v>
      </c>
      <c r="O13" t="s">
        <v>38</v>
      </c>
      <c r="AB13" s="53"/>
      <c r="AC13" s="53"/>
    </row>
    <row r="14" spans="1:29" x14ac:dyDescent="0.25">
      <c r="A14" t="s">
        <v>326</v>
      </c>
      <c r="D14" s="7" t="s">
        <v>40</v>
      </c>
      <c r="E14" s="552">
        <f>[2]!FP1230EndBal</f>
        <v>0</v>
      </c>
      <c r="F14" s="56"/>
      <c r="G14" s="552">
        <f>-(SUMIFS('Accounting data'!$G$2:$G$37000,'Accounting data'!$H$2:$H$37000,"1230*",'Accounting data'!$K$2:$K$37000,"1*")+SUMIFS('Accounting data'!$G$2:$G$37000,'Accounting data'!$H$2:$H$37000,"1230*",'Accounting data'!$K$2:$K$37000,"2*")+SUMIFS('Accounting data'!$G$2:$G$37000,'Accounting data'!$H$2:$H$37000,"1230*",'Accounting data'!$K$2:$K$37000,"3*")+SUMIFS('Accounting data'!$G$2:$G$37000,'Accounting data'!$H$2:$H$37000,"1230*",'Accounting data'!$K$2:$K$37000,"4*")+SUMIFS('Accounting data'!$G$2:$G$37000,'Accounting data'!$H$2:$H$37000,"1230*",'Accounting data'!$K$2:$K$37000,"Other*"))</f>
        <v>0</v>
      </c>
      <c r="H14" s="554">
        <f>SUMIFS('Accounting data'!$G$2:$G$37000,'Accounting data'!$H$2:$H$37000,"1230*",'Accounting data'!$K$2:$K$37000,"69*")</f>
        <v>0</v>
      </c>
      <c r="I14" s="54"/>
      <c r="J14" s="552">
        <f>[1]!FP1230Johnson</f>
        <v>0</v>
      </c>
      <c r="K14" s="554">
        <f>SUMIFS('Accounting data'!$G$2:$G$37000,'Accounting data'!$H$2:$H$37000,"1230*",'Accounting data'!$K$2:$K$37000,"6*")-SUMIFS('Accounting data'!$G$2:$G$37000,'Accounting data'!$H$2:$H$37000,"1230*",'Accounting data'!$K$2:$K$37000,"69*")-SUMIFS('Accounting data'!$G$2:$G$37000,'Accounting data'!$H$2:$H$37000,"1230*",'Accounting data'!$K$2:$K$37000,"67*")</f>
        <v>0</v>
      </c>
      <c r="L14" s="254"/>
      <c r="M14" s="54"/>
      <c r="N14" s="554">
        <f t="shared" si="0"/>
        <v>0</v>
      </c>
      <c r="O14" t="s">
        <v>40</v>
      </c>
      <c r="AB14" s="53"/>
      <c r="AC14" s="53"/>
    </row>
    <row r="15" spans="1:29" x14ac:dyDescent="0.25">
      <c r="A15" t="s">
        <v>327</v>
      </c>
      <c r="D15" s="7" t="s">
        <v>42</v>
      </c>
      <c r="E15" s="552">
        <f>[2]!FP1240EndBal</f>
        <v>0</v>
      </c>
      <c r="F15" s="56"/>
      <c r="G15" s="552">
        <f>-(SUMIFS('Accounting data'!$G$2:$G$37000,'Accounting data'!$H$2:$H$37000,"1240*",'Accounting data'!$K$2:$K$37000,"1*")+SUMIFS('Accounting data'!$G$2:$G$37000,'Accounting data'!$H$2:$H$37000,"1240*",'Accounting data'!$K$2:$K$37000,"2*")+SUMIFS('Accounting data'!$G$2:$G$37000,'Accounting data'!$H$2:$H$37000,"1240*",'Accounting data'!$K$2:$K$37000,"3*")+SUMIFS('Accounting data'!$G$2:$G$37000,'Accounting data'!$H$2:$H$37000,"1240*",'Accounting data'!$K$2:$K$37000,"4*")+SUMIFS('Accounting data'!$G$2:$G$37000,'Accounting data'!$H$2:$H$37000,"1240*",'Accounting data'!$K$2:$K$37000,"Other*"))</f>
        <v>0</v>
      </c>
      <c r="H15" s="554">
        <f>SUMIFS('Accounting data'!$G$2:$G$37000,'Accounting data'!$H$2:$H$37000,"1240*",'Accounting data'!$K$2:$K$37000,"69*")</f>
        <v>0</v>
      </c>
      <c r="I15" s="54"/>
      <c r="J15" s="552">
        <f>[1]!FP1240WIA</f>
        <v>0</v>
      </c>
      <c r="K15" s="554">
        <f>SUMIFS('Accounting data'!$G$2:$G$37000,'Accounting data'!$H$2:$H$37000,"1240*",'Accounting data'!$K$2:$K$37000,"6*")-SUMIFS('Accounting data'!$G$2:$G$37000,'Accounting data'!$H$2:$H$37000,"1240*",'Accounting data'!$K$2:$K$37000,"69*")-SUMIFS('Accounting data'!$G$2:$G$37000,'Accounting data'!$H$2:$H$37000,"1240*",'Accounting data'!$K$2:$K$37000,"67*")</f>
        <v>0</v>
      </c>
      <c r="L15" s="254"/>
      <c r="M15" s="54"/>
      <c r="N15" s="554">
        <f t="shared" si="0"/>
        <v>0</v>
      </c>
      <c r="O15" t="s">
        <v>42</v>
      </c>
      <c r="AB15" s="53"/>
      <c r="AC15" s="53"/>
    </row>
    <row r="16" spans="1:29" x14ac:dyDescent="0.25">
      <c r="A16" t="s">
        <v>328</v>
      </c>
      <c r="D16" s="7" t="s">
        <v>44</v>
      </c>
      <c r="E16" s="552">
        <f>[2]!FP1250EndBal</f>
        <v>0</v>
      </c>
      <c r="F16" s="56"/>
      <c r="G16" s="552">
        <f>-(SUMIFS('Accounting data'!$G$2:$G$37000,'Accounting data'!$H$2:$H$37000,"1250*",'Accounting data'!$K$2:$K$37000,"1*")+SUMIFS('Accounting data'!$G$2:$G$37000,'Accounting data'!$H$2:$H$37000,"1250*",'Accounting data'!$K$2:$K$37000,"2*")+SUMIFS('Accounting data'!$G$2:$G$37000,'Accounting data'!$H$2:$H$37000,"1250*",'Accounting data'!$K$2:$K$37000,"3*")+SUMIFS('Accounting data'!$G$2:$G$37000,'Accounting data'!$H$2:$H$37000,"1250*",'Accounting data'!$K$2:$K$37000,"4*")+SUMIFS('Accounting data'!$G$2:$G$37000,'Accounting data'!$H$2:$H$37000,"1250*",'Accounting data'!$K$2:$K$37000,"Other*"))</f>
        <v>0</v>
      </c>
      <c r="H16" s="554">
        <f>SUMIFS('Accounting data'!$G$2:$G$37000,'Accounting data'!$H$2:$H$37000,"1250*",'Accounting data'!$K$2:$K$37000,"69*")</f>
        <v>0</v>
      </c>
      <c r="I16" s="54"/>
      <c r="J16" s="552">
        <f>[1]!FP1250AEA</f>
        <v>0</v>
      </c>
      <c r="K16" s="554">
        <f>SUMIFS('Accounting data'!$G$2:$G$37000,'Accounting data'!$H$2:$H$37000,"1250*",'Accounting data'!$K$2:$K$37000,"6*")-SUMIFS('Accounting data'!$G$2:$G$37000,'Accounting data'!$H$2:$H$37000,"1250*",'Accounting data'!$K$2:$K$37000,"69*")-SUMIFS('Accounting data'!$G$2:$G$37000,'Accounting data'!$H$2:$H$37000,"1250*",'Accounting data'!$K$2:$K$37000,"67*")</f>
        <v>0</v>
      </c>
      <c r="L16" s="254"/>
      <c r="M16" s="54"/>
      <c r="N16" s="554">
        <f t="shared" si="0"/>
        <v>0</v>
      </c>
      <c r="O16" t="s">
        <v>44</v>
      </c>
      <c r="AB16" s="53"/>
      <c r="AC16" s="53"/>
    </row>
    <row r="17" spans="1:26" x14ac:dyDescent="0.25">
      <c r="A17" t="s">
        <v>329</v>
      </c>
      <c r="D17" s="7" t="s">
        <v>45</v>
      </c>
      <c r="E17" s="552">
        <f>[2]!FP1260EndBal</f>
        <v>0</v>
      </c>
      <c r="F17" s="56"/>
      <c r="G17" s="552">
        <f>-(SUMIFS('Accounting data'!$G$2:$G$37000,'Accounting data'!$H$2:$H$37000,"1260*",'Accounting data'!$K$2:$K$37000,"1*")+SUMIFS('Accounting data'!$G$2:$G$37000,'Accounting data'!$H$2:$H$37000,"1260*",'Accounting data'!$K$2:$K$37000,"2*")+SUMIFS('Accounting data'!$G$2:$G$37000,'Accounting data'!$H$2:$H$37000,"1260*",'Accounting data'!$K$2:$K$37000,"3*")+SUMIFS('Accounting data'!$G$2:$G$37000,'Accounting data'!$H$2:$H$37000,"1260*",'Accounting data'!$K$2:$K$37000,"4*")+SUMIFS('Accounting data'!$G$2:$G$37000,'Accounting data'!$H$2:$H$37000,"1260*",'Accounting data'!$K$2:$K$37000,"Other*"))</f>
        <v>0</v>
      </c>
      <c r="H17" s="554">
        <f>SUMIFS('Accounting data'!$G$2:$G$37000,'Accounting data'!$H$2:$H$37000,"1260*",'Accounting data'!$K$2:$K$37000,"69*")</f>
        <v>0</v>
      </c>
      <c r="I17" s="54"/>
      <c r="J17" s="552">
        <f>[1]!FP12601270VocEd</f>
        <v>0</v>
      </c>
      <c r="K17" s="554">
        <f>SUMIFS('Accounting data'!$G$2:$G$37000,'Accounting data'!$H$2:$H$37000,"1260*",'Accounting data'!$K$2:$K$37000,"6*")-SUMIFS('Accounting data'!$G$2:$G$37000,'Accounting data'!$H$2:$H$37000,"1260*",'Accounting data'!$K$2:$K$37000,"69*")-SUMIFS('Accounting data'!$G$2:$G$37000,'Accounting data'!$H$2:$H$37000,"1260*",'Accounting data'!$K$2:$K$37000,"67*")</f>
        <v>0</v>
      </c>
      <c r="L17" s="254"/>
      <c r="M17" s="54"/>
      <c r="N17" s="554">
        <f t="shared" si="0"/>
        <v>0</v>
      </c>
      <c r="O17" t="s">
        <v>45</v>
      </c>
    </row>
    <row r="18" spans="1:26" x14ac:dyDescent="0.25">
      <c r="A18" t="s">
        <v>330</v>
      </c>
      <c r="D18" s="7" t="s">
        <v>47</v>
      </c>
      <c r="E18" s="552">
        <f>[2]!FP1280EndBal</f>
        <v>0</v>
      </c>
      <c r="F18" s="56"/>
      <c r="G18" s="552">
        <f>-(SUMIFS('Accounting data'!$G$2:$G$37000,'Accounting data'!$H$2:$H$37000,"1280*",'Accounting data'!$K$2:$K$37000,"1*")+SUMIFS('Accounting data'!$G$2:$G$37000,'Accounting data'!$H$2:$H$37000,"1280*",'Accounting data'!$K$2:$K$37000,"2*")+SUMIFS('Accounting data'!$G$2:$G$37000,'Accounting data'!$H$2:$H$37000,"1280*",'Accounting data'!$K$2:$K$37000,"3*")+SUMIFS('Accounting data'!$G$2:$G$37000,'Accounting data'!$H$2:$H$37000,"1280*",'Accounting data'!$K$2:$K$37000,"4*")+SUMIFS('Accounting data'!$G$2:$G$37000,'Accounting data'!$H$2:$H$37000,"1280*",'Accounting data'!$K$2:$K$37000,"Other*"))</f>
        <v>0</v>
      </c>
      <c r="H18" s="554">
        <f>SUMIFS('Accounting data'!$G$2:$G$37000,'Accounting data'!$H$2:$H$37000,"1280*",'Accounting data'!$K$2:$K$37000,"69*")</f>
        <v>0</v>
      </c>
      <c r="I18" s="54"/>
      <c r="J18" s="552">
        <f>[1]!FP1280TitleX</f>
        <v>0</v>
      </c>
      <c r="K18" s="554">
        <f>SUMIFS('Accounting data'!$G$2:$G$37000,'Accounting data'!$H$2:$H$37000,"1280*",'Accounting data'!$K$2:$K$37000,"6*")-SUMIFS('Accounting data'!$G$2:$G$37000,'Accounting data'!$H$2:$H$37000,"1280*",'Accounting data'!$K$2:$K$37000,"69*")-SUMIFS('Accounting data'!$G$2:$G$37000,'Accounting data'!$H$2:$H$37000,"1280*",'Accounting data'!$K$2:$K$37000,"67*")</f>
        <v>0</v>
      </c>
      <c r="L18" s="254"/>
      <c r="M18" s="54"/>
      <c r="N18" s="554">
        <f t="shared" si="0"/>
        <v>0</v>
      </c>
      <c r="O18" t="s">
        <v>47</v>
      </c>
      <c r="P18" s="550"/>
    </row>
    <row r="19" spans="1:26" x14ac:dyDescent="0.25">
      <c r="A19" t="s">
        <v>331</v>
      </c>
      <c r="D19" s="7" t="s">
        <v>49</v>
      </c>
      <c r="E19" s="552">
        <f>[2]!FP1290EndBal</f>
        <v>0</v>
      </c>
      <c r="F19" s="56"/>
      <c r="G19" s="552">
        <f>-(SUMIFS('Accounting data'!$G$2:$G$37000,'Accounting data'!$H$2:$H$37000,"1290*",'Accounting data'!$K$2:$K$37000,"1*")+SUMIFS('Accounting data'!$G$2:$G$37000,'Accounting data'!$H$2:$H$37000,"1290*",'Accounting data'!$K$2:$K$37000,"2*")+SUMIFS('Accounting data'!$G$2:$G$37000,'Accounting data'!$H$2:$H$37000,"1290*",'Accounting data'!$K$2:$K$37000,"3*")+SUMIFS('Accounting data'!$G$2:$G$37000,'Accounting data'!$H$2:$H$37000,"1290*",'Accounting data'!$K$2:$K$37000,"4*")+SUMIFS('Accounting data'!$G$2:$G$37000,'Accounting data'!$H$2:$H$37000,"1290*",'Accounting data'!$K$2:$K$37000,"Other*"))</f>
        <v>0</v>
      </c>
      <c r="H19" s="554">
        <f>SUMIFS('Accounting data'!$G$2:$G$37000,'Accounting data'!$H$2:$H$37000,"1290*",'Accounting data'!$K$2:$K$37000,"69*")</f>
        <v>0</v>
      </c>
      <c r="I19" s="54"/>
      <c r="J19" s="552">
        <f>[1]!FP1290Medicaid</f>
        <v>0</v>
      </c>
      <c r="K19" s="554">
        <f>SUMIFS('Accounting data'!$G$2:$G$37000,'Accounting data'!$H$2:$H$37000,"1290*",'Accounting data'!$K$2:$K$37000,"6*")-SUMIFS('Accounting data'!$G$2:$G$37000,'Accounting data'!$H$2:$H$37000,"1290*",'Accounting data'!$K$2:$K$37000,"69*")-SUMIFS('Accounting data'!$G$2:$G$37000,'Accounting data'!$H$2:$H$37000,"1290*",'Accounting data'!$K$2:$K$37000,"67*")</f>
        <v>0</v>
      </c>
      <c r="L19" s="254"/>
      <c r="M19" s="54"/>
      <c r="N19" s="554">
        <f t="shared" si="0"/>
        <v>0</v>
      </c>
      <c r="O19" t="s">
        <v>49</v>
      </c>
      <c r="P19" s="119"/>
      <c r="Q19" s="119"/>
      <c r="S19" s="31"/>
    </row>
    <row r="20" spans="1:26" x14ac:dyDescent="0.25">
      <c r="A20" t="s">
        <v>332</v>
      </c>
      <c r="D20" s="68" t="s">
        <v>51</v>
      </c>
      <c r="E20" s="552">
        <f>[2]!FP1300EndBal</f>
        <v>0</v>
      </c>
      <c r="F20" s="56"/>
      <c r="G20" s="552">
        <f>-(SUMIFS('Accounting data'!$G$2:$G$37000,'Accounting data'!$H$2:$H$37000,"1300*",'Accounting data'!$K$2:$K$37000,"1*")+SUMIFS('Accounting data'!$G$2:$G$37000,'Accounting data'!$H$2:$H$37000,"1300*",'Accounting data'!$K$2:$K$37000,"2*")+SUMIFS('Accounting data'!$G$2:$G$37000,'Accounting data'!$H$2:$H$37000,"1300*",'Accounting data'!$K$2:$K$37000,"3*")+SUMIFS('Accounting data'!$G$2:$G$37000,'Accounting data'!$H$2:$H$37000,"1300*",'Accounting data'!$K$2:$K$37000,"4*")+SUMIFS('Accounting data'!$G$2:$G$37000,'Accounting data'!$H$2:$H$37000,"1300*",'Accounting data'!$K$2:$K$37000,"Other*"))</f>
        <v>196041</v>
      </c>
      <c r="H20" s="554">
        <f>SUMIFS('Accounting data'!$G$2:$G$37000,'Accounting data'!$H$2:$H$37000,"1300*",'Accounting data'!$K$2:$K$37000,"69*")</f>
        <v>0</v>
      </c>
      <c r="I20" s="54"/>
      <c r="J20" s="552">
        <f>[1]!FP1300Charter</f>
        <v>0</v>
      </c>
      <c r="K20" s="554">
        <f>SUMIFS('Accounting data'!$G$2:$G$37000,'Accounting data'!$H$2:$H$37000,"1300*",'Accounting data'!$K$2:$K$37000,"6*")-SUMIFS('Accounting data'!$G$2:$G$37000,'Accounting data'!$H$2:$H$37000,"1300*",'Accounting data'!$K$2:$K$37000,"69*")-SUMIFS('Accounting data'!$G$2:$G$37000,'Accounting data'!$H$2:$H$37000,"1300*",'Accounting data'!$K$2:$K$37000,"67*")</f>
        <v>196041</v>
      </c>
      <c r="L20" s="254"/>
      <c r="M20" s="54"/>
      <c r="N20" s="554">
        <f t="shared" si="0"/>
        <v>0</v>
      </c>
      <c r="O20" s="246" t="s">
        <v>51</v>
      </c>
      <c r="P20" s="119"/>
      <c r="Q20" s="119"/>
      <c r="S20" s="31"/>
    </row>
    <row r="21" spans="1:26" x14ac:dyDescent="0.25">
      <c r="A21" s="214" t="s">
        <v>333</v>
      </c>
      <c r="B21" s="214"/>
      <c r="C21" s="214"/>
      <c r="D21" s="72" t="s">
        <v>53</v>
      </c>
      <c r="E21" s="552">
        <f>[2]!FP13XXImpactAidEndBal</f>
        <v>0</v>
      </c>
      <c r="F21" s="56"/>
      <c r="G21" s="552">
        <f>-(SUMIFS('Accounting data'!$G$2:$G$37000,'Accounting data'!$H$2:$H$37000,"13XX*",'Accounting data'!$K$2:$K$37000,"1*")+SUMIFS('Accounting data'!$G$2:$G$37000,'Accounting data'!$H$2:$H$37000,"13XX*",'Accounting data'!$K$2:$K$37000,"2*")+SUMIFS('Accounting data'!$G$2:$G$37000,'Accounting data'!$H$2:$H$37000,"13XX*",'Accounting data'!$K$2:$K$37000,"3*")+SUMIFS('Accounting data'!$G$2:$G$37000,'Accounting data'!$H$2:$H$37000,"13XX*",'Accounting data'!$K$2:$K$37000,"4*")+SUMIFS('Accounting data'!$G$2:$G$37000,'Accounting data'!$H$2:$H$37000,"13XX*",'Accounting data'!$K$2:$K$37000,"Other*"))</f>
        <v>0</v>
      </c>
      <c r="H21" s="554">
        <f>SUMIFS('Accounting data'!$G$2:$G$37000,'Accounting data'!$H$2:$H$37000,"13XX*",'Accounting data'!$K$2:$K$37000,"69*")</f>
        <v>0</v>
      </c>
      <c r="I21" s="54"/>
      <c r="J21" s="552">
        <f>[1]!FP13__ImpactAid</f>
        <v>0</v>
      </c>
      <c r="K21" s="554">
        <f>SUMIFS('Accounting data'!$G$2:$G$37000,'Accounting data'!$H$2:$H$37000,"13XX*",'Accounting data'!$K$2:$K$37000,"6*")-SUMIFS('Accounting data'!$G$2:$G$37000,'Accounting data'!$H$2:$H$37000,"13XX*",'Accounting data'!$K$2:$K$37000,"69*")-SUMIFS('Accounting data'!$G$2:$G$37000,'Accounting data'!$H$2:$H$37000,"13XX*",'Accounting data'!$K$2:$K$37000,"67*")</f>
        <v>0</v>
      </c>
      <c r="L21" s="254"/>
      <c r="M21" s="54"/>
      <c r="N21" s="554">
        <f t="shared" si="0"/>
        <v>0</v>
      </c>
      <c r="O21" s="246" t="s">
        <v>53</v>
      </c>
      <c r="P21" s="119"/>
      <c r="Q21" s="119"/>
      <c r="S21" s="31"/>
    </row>
    <row r="22" spans="1:26" ht="13.8" thickBot="1" x14ac:dyDescent="0.3">
      <c r="A22" s="214" t="s">
        <v>334</v>
      </c>
      <c r="B22" s="214"/>
      <c r="C22" s="214"/>
      <c r="D22" s="68" t="s">
        <v>55</v>
      </c>
      <c r="E22" s="221">
        <f>[2]!FP13101399EndBal</f>
        <v>0</v>
      </c>
      <c r="F22" s="59"/>
      <c r="G22" s="221">
        <f>-(SUMIFS('Accounting data'!$G$2:$G$37000,'Accounting data'!$H$2:$H$37000,"1310*",'Accounting data'!$K$2:$K$37000,"1*")+SUMIFS('Accounting data'!$G$2:$G$37000,'Accounting data'!$H$2:$H$37000,"1310*",'Accounting data'!$K$2:$K$37000,"2*")+SUMIFS('Accounting data'!$G$2:$G$37000,'Accounting data'!$H$2:$H$37000,"1310*",'Accounting data'!$K$2:$K$37000,"3*")+SUMIFS('Accounting data'!$G$2:$G$37000,'Accounting data'!$H$2:$H$37000,"1310*",'Accounting data'!$K$2:$K$37000,"4*")+SUMIFS('Accounting data'!$G$2:$G$37000,'Accounting data'!$H$2:$H$37000,"1310*",'Accounting data'!$K$2:$K$37000,"Other*"))</f>
        <v>109514</v>
      </c>
      <c r="H22" s="227">
        <f>SUMIFS('Accounting data'!$G$2:$G$37000,'Accounting data'!$H$2:$H$37000,"1310*",'Accounting data'!$K$2:$K$37000,"69*")</f>
        <v>0</v>
      </c>
      <c r="I22" s="58"/>
      <c r="J22" s="221">
        <f>[1]!FP13101399Other</f>
        <v>250000</v>
      </c>
      <c r="K22" s="227">
        <f>SUMIFS('Accounting data'!$G$2:$G$37000,'Accounting data'!$H$2:$H$37000,"1310*",'Accounting data'!$K$2:$K$37000,"6*")-SUMIFS('Accounting data'!$G$2:$G$37000,'Accounting data'!$H$2:$H$37000,"1310*",'Accounting data'!$K$2:$K$37000,"69*")-SUMIFS('Accounting data'!$G$2:$G$37000,'Accounting data'!$H$2:$H$37000,"1310*",'Accounting data'!$K$2:$K$37000,"67*")</f>
        <v>109514</v>
      </c>
      <c r="L22" s="58"/>
      <c r="M22" s="58"/>
      <c r="N22" s="554">
        <f>SUM(IF(F22="",E22,F22)+G22-H22-I22-K22-M22-L22)</f>
        <v>0</v>
      </c>
      <c r="O22" s="246" t="s">
        <v>55</v>
      </c>
      <c r="P22" s="119"/>
      <c r="Q22" s="119"/>
      <c r="S22" s="31"/>
    </row>
    <row r="23" spans="1:26" ht="13.8" thickBot="1" x14ac:dyDescent="0.3">
      <c r="A23" t="s">
        <v>335</v>
      </c>
      <c r="D23" s="68" t="s">
        <v>57</v>
      </c>
      <c r="E23" s="222">
        <f t="shared" ref="E23:M23" si="1">SUM(E6:E22)</f>
        <v>0</v>
      </c>
      <c r="F23" s="222" cm="1">
        <f t="array" ref="F23">SUM(IF(F6:F22="",E6:E22,F6:F22))</f>
        <v>0</v>
      </c>
      <c r="G23" s="222">
        <f t="shared" si="1"/>
        <v>434804</v>
      </c>
      <c r="H23" s="222">
        <f t="shared" si="1"/>
        <v>0</v>
      </c>
      <c r="I23" s="222">
        <f>SUM(I6:I22)</f>
        <v>0</v>
      </c>
      <c r="J23" s="222">
        <f>SUM(J6:J22)</f>
        <v>365000</v>
      </c>
      <c r="K23" s="222">
        <f t="shared" si="1"/>
        <v>434804</v>
      </c>
      <c r="L23" s="222">
        <f>SUM(L6:L22)</f>
        <v>0</v>
      </c>
      <c r="M23" s="222">
        <f t="shared" si="1"/>
        <v>0</v>
      </c>
      <c r="N23" s="554">
        <f>SUM(IF(F23="",E23,F23)+G23-H23-I23-K23-M23)</f>
        <v>0</v>
      </c>
      <c r="O23" s="246" t="s">
        <v>57</v>
      </c>
    </row>
    <row r="24" spans="1:26" ht="13.8" thickTop="1" x14ac:dyDescent="0.25">
      <c r="D24" s="68"/>
      <c r="E24" s="31"/>
      <c r="F24" s="31"/>
      <c r="G24" s="31"/>
      <c r="H24" s="31"/>
      <c r="I24" s="31"/>
      <c r="J24" s="31"/>
      <c r="K24" s="31"/>
      <c r="L24" s="31"/>
      <c r="M24" s="31"/>
      <c r="N24" s="31"/>
      <c r="O24" s="246"/>
    </row>
    <row r="25" spans="1:26" x14ac:dyDescent="0.25">
      <c r="A25" s="214" t="s">
        <v>336</v>
      </c>
      <c r="B25" s="214"/>
      <c r="C25" s="214"/>
      <c r="D25" s="68" t="s">
        <v>59</v>
      </c>
      <c r="E25" s="552">
        <f>'[2]Page 8'!$N$25</f>
        <v>0</v>
      </c>
      <c r="F25" s="56">
        <v>0</v>
      </c>
      <c r="G25" s="554">
        <f>Q25+Z25</f>
        <v>0</v>
      </c>
      <c r="H25" s="552">
        <f t="array" ref="H25">SUM(SUMIFS('Accounting data'!$G$2:$G$37000,'Accounting data'!$H$2:$H$37000,{"1310-1399-COVID-19*","1227*","1228*"},'Accounting data'!$K$2:$K$37000,"69*"))</f>
        <v>0</v>
      </c>
      <c r="I25" s="56">
        <v>0</v>
      </c>
      <c r="J25" s="106"/>
      <c r="K25" s="554">
        <f t="array" ref="K25">SUM(SUMIFS('Accounting data'!$G$2:$G$37000,'Accounting data'!$H$2:$H$37000,{"1310-1399-COVID-19*","1227*","1228*"},'Accounting data'!$K$2:$K$37000,"6*"))-SUM(SUMIFS('Accounting data'!$G$2:$G$37000,'Accounting data'!$H$2:$H$37000,{"1310-1399-COVID-19*","1227*","1228*"},'Accounting data'!$K$2:$K$37000,"69*"))-SUM(SUMIFS('Accounting data'!$G$2:$G$37000,'Accounting data'!$H$2:$H$37000,{"1310-1399-COVID-19*","1227*","1228*"},'Accounting data'!$K$2:$K$37000,"67*"))</f>
        <v>0</v>
      </c>
      <c r="L25" s="54">
        <v>0</v>
      </c>
      <c r="M25" s="56">
        <v>0</v>
      </c>
      <c r="N25" s="554">
        <f>SUM(IF(F25="",E25,F25)+G25-H25-I25-K25-M25-L25)</f>
        <v>0</v>
      </c>
      <c r="O25" s="68" t="s">
        <v>59</v>
      </c>
      <c r="Q25" s="53">
        <f t="array" ref="Q25">-(SUMIFS('Accounting data'!$G$2:$G$37000,'Accounting data'!$H$2:$H$37000,"1310-1399-COVID-19*",'Accounting data'!$K$2:$K$37000,"1*")+SUMIFS('Accounting data'!$G$2:$G$37000,'Accounting data'!$H$2:$H$37000,"1310-1399-COVID-19*",'Accounting data'!$K$2:$K$37000,"2*")+SUMIFS('Accounting data'!$G$2:$G$37000,'Accounting data'!$H$2:$H$37000,"1310-1399-COVID-19*",'Accounting data'!$K$2:$K$37000,"3*")+SUMIFS('Accounting data'!$G$2:$G$37000,'Accounting data'!$H$2:$H$37000,"1310-1399-COVID-19*",'Accounting data'!$K$2:$K$37000,"4*")+SUMIFS('Accounting data'!$G$2:$G$37000,'Accounting data'!$H$2:$H$37000,"1310-1399-COVID-19*",'Accounting data'!$K$2:$K$37000,"Other*")+SUM(SUMIFS('Accounting data'!$G$2:$G$37000,'Accounting data'!$H$2:$H$37000,"1227*",'Accounting data'!$K$2:$K$37000,{"1*","2*","3*","4*","Other*"})))</f>
        <v>0</v>
      </c>
      <c r="R25" s="53"/>
      <c r="S25" s="53"/>
      <c r="T25" s="53"/>
      <c r="U25" s="53"/>
      <c r="V25" s="53"/>
      <c r="W25" s="53"/>
      <c r="X25" s="53"/>
      <c r="Y25" s="53"/>
      <c r="Z25" s="53">
        <f t="array" ref="Z25">-SUM(SUMIFS('Accounting data'!$G$2:$G$37000,'Accounting data'!$H$2:$H$37000,"1228*",'Accounting data'!$K$2:$K$37000,{"1*","2*","3*","4*","Other*"}))</f>
        <v>0</v>
      </c>
    </row>
    <row r="26" spans="1:26" x14ac:dyDescent="0.25">
      <c r="D26" s="68"/>
      <c r="E26" s="31"/>
      <c r="F26" s="31"/>
      <c r="G26" s="31"/>
      <c r="H26" s="31"/>
      <c r="I26" s="31"/>
      <c r="J26" s="31"/>
      <c r="K26" s="31"/>
      <c r="L26" s="31"/>
      <c r="M26" s="31"/>
      <c r="N26" s="31"/>
      <c r="O26" s="246"/>
    </row>
    <row r="27" spans="1:26" x14ac:dyDescent="0.25">
      <c r="A27" s="551" t="s">
        <v>337</v>
      </c>
      <c r="E27" s="217"/>
      <c r="F27" s="217"/>
      <c r="G27" s="217"/>
      <c r="H27" s="217"/>
      <c r="I27" s="217"/>
      <c r="J27" s="217"/>
      <c r="K27" s="217"/>
      <c r="L27" s="217"/>
      <c r="M27" s="217"/>
      <c r="N27" s="217"/>
    </row>
    <row r="28" spans="1:26" x14ac:dyDescent="0.25">
      <c r="A28" t="s">
        <v>338</v>
      </c>
      <c r="D28" s="68" t="s">
        <v>61</v>
      </c>
      <c r="E28" s="552">
        <f>[2]!StP1400EndBal</f>
        <v>0</v>
      </c>
      <c r="F28" s="56"/>
      <c r="G28" s="552">
        <f>-(SUMIFS('Accounting data'!$G$2:$G$37000,'Accounting data'!$H$2:$H$37000,"1400*",'Accounting data'!$K$2:$K$37000,"1*")+SUMIFS('Accounting data'!$G$2:$G$37000,'Accounting data'!$H$2:$H$37000,"1400*",'Accounting data'!$K$2:$K$37000,"2*")+SUMIFS('Accounting data'!$G$2:$G$37000,'Accounting data'!$H$2:$H$37000,"1400*",'Accounting data'!$K$2:$K$37000,"3*")+SUMIFS('Accounting data'!$G$2:$G$37000,'Accounting data'!$H$2:$H$37000,"1400*",'Accounting data'!$K$2:$K$37000,"4*")+SUMIFS('Accounting data'!$G$2:$G$37000,'Accounting data'!$H$2:$H$37000,"1400*",'Accounting data'!$K$2:$K$37000,"Other*"))</f>
        <v>0</v>
      </c>
      <c r="H28" s="104"/>
      <c r="I28" s="54"/>
      <c r="J28" s="552">
        <f>[1]!SP1400VocEd</f>
        <v>0</v>
      </c>
      <c r="K28" s="554">
        <f>SUMIFS('Accounting data'!$G$2:$G$37000,'Accounting data'!$H$2:$H$37000,"1400*",'Accounting data'!$K$2:$K$37000,"6*")-SUMIFS('Accounting data'!$G$2:$G$37000,'Accounting data'!$H$2:$H$37000,"1400*",'Accounting data'!$K$2:$K$37000,"69*")-SUMIFS('Accounting data'!$G$2:$G$37000,'Accounting data'!$H$2:$H$37000,"1400*",'Accounting data'!$K$2:$K$37000,"67*")</f>
        <v>0</v>
      </c>
      <c r="L28" s="54"/>
      <c r="M28" s="54"/>
      <c r="N28" s="554">
        <f>SUM(IF(F28="",E28,F28)+G28-H28-I28-K28-L28-M28)</f>
        <v>0</v>
      </c>
      <c r="O28" s="68" t="s">
        <v>61</v>
      </c>
    </row>
    <row r="29" spans="1:26" x14ac:dyDescent="0.25">
      <c r="A29" t="s">
        <v>339</v>
      </c>
      <c r="D29" s="68" t="s">
        <v>63</v>
      </c>
      <c r="E29" s="552">
        <f>[2]!StP1410EndBal</f>
        <v>0</v>
      </c>
      <c r="F29" s="56"/>
      <c r="G29" s="552">
        <f>-(SUMIFS('Accounting data'!$G$2:$G$37000,'Accounting data'!$H$2:$H$37000,"1410*",'Accounting data'!$K$2:$K$37000,"1*")+SUMIFS('Accounting data'!$G$2:$G$37000,'Accounting data'!$H$2:$H$37000,"1410*",'Accounting data'!$K$2:$K$37000,"2*")+SUMIFS('Accounting data'!$G$2:$G$37000,'Accounting data'!$H$2:$H$37000,"1410*",'Accounting data'!$K$2:$K$37000,"3*")+SUMIFS('Accounting data'!$G$2:$G$37000,'Accounting data'!$H$2:$H$37000,"1410*",'Accounting data'!$K$2:$K$37000,"4*")+SUMIFS('Accounting data'!$G$2:$G$37000,'Accounting data'!$H$2:$H$37000,"1410*",'Accounting data'!$K$2:$K$37000,"Other*"))</f>
        <v>0</v>
      </c>
      <c r="H29" s="104"/>
      <c r="I29" s="54"/>
      <c r="J29" s="552">
        <f>[1]!SP1410EarlyChildhoodBlockGrant</f>
        <v>0</v>
      </c>
      <c r="K29" s="554">
        <f>SUMIFS('Accounting data'!$G$2:$G$37000,'Accounting data'!$H$2:$H$37000,"1410*",'Accounting data'!$K$2:$K$37000,"6*")-SUMIFS('Accounting data'!$G$2:$G$37000,'Accounting data'!$H$2:$H$37000,"1410*",'Accounting data'!$K$2:$K$37000,"69*")-SUMIFS('Accounting data'!$G$2:$G$37000,'Accounting data'!$H$2:$H$37000,"1410*",'Accounting data'!$K$2:$K$37000,"67*")</f>
        <v>0</v>
      </c>
      <c r="L29" s="54"/>
      <c r="M29" s="54"/>
      <c r="N29" s="554">
        <f t="shared" ref="N29:N39" si="2">SUM(IF(F29="",E29,F29)+G29-H29-I29-K29-L29-M29)</f>
        <v>0</v>
      </c>
      <c r="O29" s="68" t="s">
        <v>63</v>
      </c>
    </row>
    <row r="30" spans="1:26" x14ac:dyDescent="0.25">
      <c r="A30" t="s">
        <v>340</v>
      </c>
      <c r="D30" s="68" t="s">
        <v>65</v>
      </c>
      <c r="E30" s="552">
        <f>[2]!StP1420EndBal</f>
        <v>0</v>
      </c>
      <c r="F30" s="56"/>
      <c r="G30" s="552">
        <f>-(SUMIFS('Accounting data'!$G$2:$G$37000,'Accounting data'!$H$2:$H$37000,"1420*",'Accounting data'!$K$2:$K$37000,"1*")+SUMIFS('Accounting data'!$G$2:$G$37000,'Accounting data'!$H$2:$H$37000,"1420*",'Accounting data'!$K$2:$K$37000,"2*")+SUMIFS('Accounting data'!$G$2:$G$37000,'Accounting data'!$H$2:$H$37000,"1420*",'Accounting data'!$K$2:$K$37000,"3*")+SUMIFS('Accounting data'!$G$2:$G$37000,'Accounting data'!$H$2:$H$37000,"1420*",'Accounting data'!$K$2:$K$37000,"4*")+SUMIFS('Accounting data'!$G$2:$G$37000,'Accounting data'!$H$2:$H$37000,"1420*",'Accounting data'!$K$2:$K$37000,"Other*"))</f>
        <v>0</v>
      </c>
      <c r="H30" s="104"/>
      <c r="I30" s="54"/>
      <c r="J30" s="552">
        <f>[1]!FP1420ExtendedSchool</f>
        <v>0</v>
      </c>
      <c r="K30" s="554">
        <f>SUMIFS('Accounting data'!$G$2:$G$37000,'Accounting data'!$H$2:$H$37000,"1420*",'Accounting data'!$K$2:$K$37000,"6*")-SUMIFS('Accounting data'!$G$2:$G$37000,'Accounting data'!$H$2:$H$37000,"1420*",'Accounting data'!$K$2:$K$37000,"69*")-SUMIFS('Accounting data'!$G$2:$G$37000,'Accounting data'!$H$2:$H$37000,"1420*",'Accounting data'!$K$2:$K$37000,"67*")</f>
        <v>0</v>
      </c>
      <c r="L30" s="54"/>
      <c r="M30" s="54"/>
      <c r="N30" s="554">
        <f t="shared" si="2"/>
        <v>0</v>
      </c>
      <c r="O30" s="68" t="s">
        <v>65</v>
      </c>
    </row>
    <row r="31" spans="1:26" x14ac:dyDescent="0.25">
      <c r="A31" t="s">
        <v>341</v>
      </c>
      <c r="D31" s="68" t="s">
        <v>67</v>
      </c>
      <c r="E31" s="552">
        <f>[2]!StP1425EndBal</f>
        <v>0</v>
      </c>
      <c r="F31" s="56"/>
      <c r="G31" s="552">
        <f>-(SUMIFS('Accounting data'!$G$2:$G$37000,'Accounting data'!$H$2:$H$37000,"1425*",'Accounting data'!$K$2:$K$37000,"1*")+SUMIFS('Accounting data'!$G$2:$G$37000,'Accounting data'!$H$2:$H$37000,"1425*",'Accounting data'!$K$2:$K$37000,"2*")+SUMIFS('Accounting data'!$G$2:$G$37000,'Accounting data'!$H$2:$H$37000,"1425*",'Accounting data'!$K$2:$K$37000,"3*")+SUMIFS('Accounting data'!$G$2:$G$37000,'Accounting data'!$H$2:$H$37000,"1425*",'Accounting data'!$K$2:$K$37000,"4*")+SUMIFS('Accounting data'!$G$2:$G$37000,'Accounting data'!$H$2:$H$37000,"1425*",'Accounting data'!$K$2:$K$37000,"Other*"))</f>
        <v>0</v>
      </c>
      <c r="H31" s="104"/>
      <c r="I31" s="54"/>
      <c r="J31" s="552">
        <f>[1]!SP1425AdultBasicEd</f>
        <v>0</v>
      </c>
      <c r="K31" s="554">
        <f>SUMIFS('Accounting data'!$G$2:$G$37000,'Accounting data'!$H$2:$H$37000,"1425*",'Accounting data'!$K$2:$K$37000,"6*")-SUMIFS('Accounting data'!$G$2:$G$37000,'Accounting data'!$H$2:$H$37000,"1425*",'Accounting data'!$K$2:$K$37000,"69*")-SUMIFS('Accounting data'!$G$2:$G$37000,'Accounting data'!$H$2:$H$37000,"1425*",'Accounting data'!$K$2:$K$37000,"67*")</f>
        <v>0</v>
      </c>
      <c r="L31" s="54"/>
      <c r="M31" s="54"/>
      <c r="N31" s="554">
        <f t="shared" si="2"/>
        <v>0</v>
      </c>
      <c r="O31" s="68" t="s">
        <v>67</v>
      </c>
    </row>
    <row r="32" spans="1:26" x14ac:dyDescent="0.25">
      <c r="A32" t="s">
        <v>342</v>
      </c>
      <c r="D32" s="68" t="s">
        <v>69</v>
      </c>
      <c r="E32" s="552">
        <f>[2]!StP1430EndBal</f>
        <v>0</v>
      </c>
      <c r="F32" s="56"/>
      <c r="G32" s="552">
        <f>-(SUMIFS('Accounting data'!$G$2:$G$37000,'Accounting data'!$H$2:$H$37000,"1430*",'Accounting data'!$K$2:$K$37000,"1*")+SUMIFS('Accounting data'!$G$2:$G$37000,'Accounting data'!$H$2:$H$37000,"1430*",'Accounting data'!$K$2:$K$37000,"2*")+SUMIFS('Accounting data'!$G$2:$G$37000,'Accounting data'!$H$2:$H$37000,"1430*",'Accounting data'!$K$2:$K$37000,"3*")+SUMIFS('Accounting data'!$G$2:$G$37000,'Accounting data'!$H$2:$H$37000,"1430*",'Accounting data'!$K$2:$K$37000,"4*")+SUMIFS('Accounting data'!$G$2:$G$37000,'Accounting data'!$H$2:$H$37000,"1430*",'Accounting data'!$K$2:$K$37000,"Other*"))</f>
        <v>0</v>
      </c>
      <c r="H32" s="104"/>
      <c r="I32" s="54"/>
      <c r="J32" s="552">
        <f>[1]!SP1430ChemicalAbuse</f>
        <v>0</v>
      </c>
      <c r="K32" s="554">
        <f>SUMIFS('Accounting data'!$G$2:$G$37000,'Accounting data'!$H$2:$H$37000,"1430*",'Accounting data'!$K$2:$K$37000,"6*")-SUMIFS('Accounting data'!$G$2:$G$37000,'Accounting data'!$H$2:$H$37000,"1430*",'Accounting data'!$K$2:$K$37000,"69*")-SUMIFS('Accounting data'!$G$2:$G$37000,'Accounting data'!$H$2:$H$37000,"1430*",'Accounting data'!$K$2:$K$37000,"67*")</f>
        <v>0</v>
      </c>
      <c r="L32" s="54"/>
      <c r="M32" s="54"/>
      <c r="N32" s="554">
        <f t="shared" si="2"/>
        <v>0</v>
      </c>
      <c r="O32" s="68" t="s">
        <v>69</v>
      </c>
    </row>
    <row r="33" spans="1:15" ht="12.75" customHeight="1" x14ac:dyDescent="0.25">
      <c r="A33" t="s">
        <v>343</v>
      </c>
      <c r="D33" s="68" t="s">
        <v>71</v>
      </c>
      <c r="E33" s="552">
        <f>[2]!StP1435EndBal</f>
        <v>0</v>
      </c>
      <c r="F33" s="56"/>
      <c r="G33" s="552">
        <f>-(SUMIFS('Accounting data'!$G$2:$G$37000,'Accounting data'!$H$2:$H$37000,"1435*",'Accounting data'!$K$2:$K$37000,"1*")+SUMIFS('Accounting data'!$G$2:$G$37000,'Accounting data'!$H$2:$H$37000,"1435*",'Accounting data'!$K$2:$K$37000,"2*")+SUMIFS('Accounting data'!$G$2:$G$37000,'Accounting data'!$H$2:$H$37000,"1435*",'Accounting data'!$K$2:$K$37000,"3*")+SUMIFS('Accounting data'!$G$2:$G$37000,'Accounting data'!$H$2:$H$37000,"1435*",'Accounting data'!$K$2:$K$37000,"4*")+SUMIFS('Accounting data'!$G$2:$G$37000,'Accounting data'!$H$2:$H$37000,"1435*",'Accounting data'!$K$2:$K$37000,"Other*"))</f>
        <v>0</v>
      </c>
      <c r="H33" s="104"/>
      <c r="I33" s="54"/>
      <c r="J33" s="552">
        <f>[1]!SP1435AcademicContests</f>
        <v>0</v>
      </c>
      <c r="K33" s="554">
        <f>SUMIFS('Accounting data'!$G$2:$G$37000,'Accounting data'!$H$2:$H$37000,"1435*",'Accounting data'!$K$2:$K$37000,"6*")-SUMIFS('Accounting data'!$G$2:$G$37000,'Accounting data'!$H$2:$H$37000,"1435*",'Accounting data'!$K$2:$K$37000,"69*")-SUMIFS('Accounting data'!$G$2:$G$37000,'Accounting data'!$H$2:$H$37000,"1435*",'Accounting data'!$K$2:$K$37000,"67*")</f>
        <v>0</v>
      </c>
      <c r="L33" s="54"/>
      <c r="M33" s="54"/>
      <c r="N33" s="554">
        <f t="shared" si="2"/>
        <v>0</v>
      </c>
      <c r="O33" s="68" t="s">
        <v>71</v>
      </c>
    </row>
    <row r="34" spans="1:15" ht="12.75" customHeight="1" x14ac:dyDescent="0.25">
      <c r="A34" t="s">
        <v>344</v>
      </c>
      <c r="D34" s="68" t="s">
        <v>73</v>
      </c>
      <c r="E34" s="552">
        <f>[2]!StP1450EndBal</f>
        <v>0</v>
      </c>
      <c r="F34" s="56"/>
      <c r="G34" s="552">
        <f>-(SUMIFS('Accounting data'!$G$2:$G$37000,'Accounting data'!$H$2:$H$37000,"1450*",'Accounting data'!$K$2:$K$37000,"1*")+SUMIFS('Accounting data'!$G$2:$G$37000,'Accounting data'!$H$2:$H$37000,"1450*",'Accounting data'!$K$2:$K$37000,"2*")+SUMIFS('Accounting data'!$G$2:$G$37000,'Accounting data'!$H$2:$H$37000,"1450*",'Accounting data'!$K$2:$K$37000,"3*")+SUMIFS('Accounting data'!$G$2:$G$37000,'Accounting data'!$H$2:$H$37000,"1450*",'Accounting data'!$K$2:$K$37000,"4*")+SUMIFS('Accounting data'!$G$2:$G$37000,'Accounting data'!$H$2:$H$37000,"1450*",'Accounting data'!$K$2:$K$37000,"Other*"))</f>
        <v>0</v>
      </c>
      <c r="H34" s="104"/>
      <c r="I34" s="54"/>
      <c r="J34" s="552">
        <f>[1]!SP1450GiftedEd</f>
        <v>0</v>
      </c>
      <c r="K34" s="554">
        <f>SUMIFS('Accounting data'!$G$2:$G$37000,'Accounting data'!$H$2:$H$37000,"1450*",'Accounting data'!$K$2:$K$37000,"6*")-SUMIFS('Accounting data'!$G$2:$G$37000,'Accounting data'!$H$2:$H$37000,"1450*",'Accounting data'!$K$2:$K$37000,"69*")-SUMIFS('Accounting data'!$G$2:$G$37000,'Accounting data'!$H$2:$H$37000,"1450*",'Accounting data'!$K$2:$K$37000,"67*")</f>
        <v>0</v>
      </c>
      <c r="L34" s="54"/>
      <c r="M34" s="54"/>
      <c r="N34" s="554">
        <f t="shared" si="2"/>
        <v>0</v>
      </c>
      <c r="O34" s="68" t="s">
        <v>73</v>
      </c>
    </row>
    <row r="35" spans="1:15" ht="12.75" customHeight="1" x14ac:dyDescent="0.25">
      <c r="A35" t="s">
        <v>345</v>
      </c>
      <c r="D35" s="68" t="s">
        <v>75</v>
      </c>
      <c r="E35" s="552" cm="1">
        <f t="array" ref="E35">[2]!StP1456EndBal</f>
        <v>0</v>
      </c>
      <c r="F35" s="56"/>
      <c r="G35" s="552">
        <f>-(SUMIFS('Accounting data'!$G$2:$G$37000,'Accounting data'!$H$2:$H$37000,"1456*",'Accounting data'!$K$2:$K$37000,"1*")+SUMIFS('Accounting data'!$G$2:$G$37000,'Accounting data'!$H$2:$H$37000,"1456*",'Accounting data'!$K$2:$K$37000,"2*")+SUMIFS('Accounting data'!$G$2:$G$37000,'Accounting data'!$H$2:$H$37000,"1456*",'Accounting data'!$K$2:$K$37000,"3*")+SUMIFS('Accounting data'!$G$2:$G$37000,'Accounting data'!$H$2:$H$37000,"1456*",'Accounting data'!$K$2:$K$37000,"4*")+SUMIFS('Accounting data'!$G$2:$G$37000,'Accounting data'!$H$2:$H$37000,"1456*",'Accounting data'!$K$2:$K$37000,"Other*"))</f>
        <v>0</v>
      </c>
      <c r="H35" s="104"/>
      <c r="I35" s="54"/>
      <c r="J35" s="552">
        <f>+'[1]Page 2'!$E$31</f>
        <v>0</v>
      </c>
      <c r="K35" s="554">
        <f>SUMIFS('Accounting data'!$G$2:$G$37000,'Accounting data'!$H$2:$H$37000,"1456*",'Accounting data'!$K$2:$K$37000,"6*")-SUMIFS('Accounting data'!$G$2:$G$37000,'Accounting data'!$H$2:$H$37000,"1456*",'Accounting data'!$K$2:$K$37000,"69*")-SUMIFS('Accounting data'!$G$2:$G$37000,'Accounting data'!$H$2:$H$37000,"1456*",'Accounting data'!$K$2:$K$37000,"67*")</f>
        <v>0</v>
      </c>
      <c r="L35" s="54"/>
      <c r="M35" s="54"/>
      <c r="N35" s="554">
        <f t="shared" si="2"/>
        <v>0</v>
      </c>
      <c r="O35" s="68" t="s">
        <v>75</v>
      </c>
    </row>
    <row r="36" spans="1:15" x14ac:dyDescent="0.25">
      <c r="A36" t="s">
        <v>346</v>
      </c>
      <c r="D36" s="68" t="s">
        <v>77</v>
      </c>
      <c r="E36" s="552">
        <f>[2]!StP1460EndBal</f>
        <v>0</v>
      </c>
      <c r="F36" s="56"/>
      <c r="G36" s="552">
        <f>-(SUMIFS('Accounting data'!$G$2:$G$37000,'Accounting data'!$H$2:$H$37000,"1460*",'Accounting data'!$K$2:$K$37000,"1*")+SUMIFS('Accounting data'!$G$2:$G$37000,'Accounting data'!$H$2:$H$37000,"1460*",'Accounting data'!$K$2:$K$37000,"2*")+SUMIFS('Accounting data'!$G$2:$G$37000,'Accounting data'!$H$2:$H$37000,"1460*",'Accounting data'!$K$2:$K$37000,"3*")+SUMIFS('Accounting data'!$G$2:$G$37000,'Accounting data'!$H$2:$H$37000,"1460*",'Accounting data'!$K$2:$K$37000,"4*")+SUMIFS('Accounting data'!$G$2:$G$37000,'Accounting data'!$H$2:$H$37000,"1460*",'Accounting data'!$K$2:$K$37000,"Other*"))</f>
        <v>0</v>
      </c>
      <c r="H36" s="187"/>
      <c r="I36" s="54"/>
      <c r="J36" s="552">
        <f>[1]!SP1460EnvironmentalSpecialPlate</f>
        <v>0</v>
      </c>
      <c r="K36" s="554">
        <f>SUMIFS('Accounting data'!$G$2:$G$37000,'Accounting data'!$H$2:$H$37000,"1460*",'Accounting data'!$K$2:$K$37000,"6*")-SUMIFS('Accounting data'!$G$2:$G$37000,'Accounting data'!$H$2:$H$37000,"1460*",'Accounting data'!$K$2:$K$37000,"69*")-SUMIFS('Accounting data'!$G$2:$G$37000,'Accounting data'!$H$2:$H$37000,"1460*",'Accounting data'!$K$2:$K$37000,"67*")</f>
        <v>0</v>
      </c>
      <c r="L36" s="54"/>
      <c r="M36" s="54"/>
      <c r="N36" s="554">
        <f t="shared" si="2"/>
        <v>0</v>
      </c>
      <c r="O36" s="68" t="s">
        <v>79</v>
      </c>
    </row>
    <row r="37" spans="1:15" ht="12.75" customHeight="1" x14ac:dyDescent="0.25">
      <c r="A37" t="s">
        <v>347</v>
      </c>
      <c r="D37" s="68" t="s">
        <v>79</v>
      </c>
      <c r="E37" s="552">
        <f>[2]!StP1465EndBal</f>
        <v>0</v>
      </c>
      <c r="F37" s="56"/>
      <c r="G37" s="552">
        <f>-(SUMIFS('Accounting data'!$G$2:$G$37000,'Accounting data'!$H$2:$H$37000,"1465*",'Accounting data'!$K$2:$K$37000,"1*")+SUMIFS('Accounting data'!$G$2:$G$37000,'Accounting data'!$H$2:$H$37000,"1465*",'Accounting data'!$K$2:$K$37000,"2*")+SUMIFS('Accounting data'!$G$2:$G$37000,'Accounting data'!$H$2:$H$37000,"1465*",'Accounting data'!$K$2:$K$37000,"3*")+SUMIFS('Accounting data'!$G$2:$G$37000,'Accounting data'!$H$2:$H$37000,"1465*",'Accounting data'!$K$2:$K$37000,"4*")+SUMIFS('Accounting data'!$G$2:$G$37000,'Accounting data'!$H$2:$H$37000,"1465*",'Accounting data'!$K$2:$K$37000,"Other*"))</f>
        <v>0</v>
      </c>
      <c r="H37" s="255"/>
      <c r="I37" s="54"/>
      <c r="J37" s="552">
        <f>[1]!SP1465CharterSchool</f>
        <v>0</v>
      </c>
      <c r="K37" s="554">
        <f>SUMIFS('Accounting data'!$G$2:$G$37000,'Accounting data'!$H$2:$H$37000,"1465*",'Accounting data'!$K$2:$K$37000,"6*")-SUMIFS('Accounting data'!$G$2:$G$37000,'Accounting data'!$H$2:$H$37000,"1465*",'Accounting data'!$K$2:$K$37000,"69*")-SUMIFS('Accounting data'!$G$2:$G$37000,'Accounting data'!$H$2:$H$37000,"1465*",'Accounting data'!$K$2:$K$37000,"67*")</f>
        <v>0</v>
      </c>
      <c r="L37" s="54"/>
      <c r="M37" s="54"/>
      <c r="N37" s="554">
        <f t="shared" si="2"/>
        <v>0</v>
      </c>
      <c r="O37" s="68" t="s">
        <v>81</v>
      </c>
    </row>
    <row r="38" spans="1:15" ht="12.75" customHeight="1" x14ac:dyDescent="0.25">
      <c r="A38" s="256" t="s">
        <v>348</v>
      </c>
      <c r="B38" s="256"/>
      <c r="C38" s="256"/>
      <c r="D38" s="72" t="s">
        <v>81</v>
      </c>
      <c r="E38" s="552">
        <f t="array" ref="E38">[2]!StP14XXEndBal</f>
        <v>0</v>
      </c>
      <c r="F38" s="56"/>
      <c r="G38" s="552">
        <f>-(SUMIFS('Accounting data'!$G$2:$G$37000,'Accounting data'!$H$2:$H$37000,"14XX*",'Accounting data'!$K$2:$K$37000,"1*")+SUMIFS('Accounting data'!$G$2:$G$37000,'Accounting data'!$H$2:$H$37000,"14XX*",'Accounting data'!$K$2:$K$37000,"2*")+SUMIFS('Accounting data'!$G$2:$G$37000,'Accounting data'!$H$2:$H$37000,"14XX*",'Accounting data'!$K$2:$K$37000,"3*")+SUMIFS('Accounting data'!$G$2:$G$37000,'Accounting data'!$H$2:$H$37000,"14XX*",'Accounting data'!$K$2:$K$37000,"4*")+SUMIFS('Accounting data'!$G$2:$G$37000,'Accounting data'!$H$2:$H$37000,"14XX*",'Accounting data'!$K$2:$K$37000,"Other*"))</f>
        <v>0</v>
      </c>
      <c r="H38" s="255"/>
      <c r="I38" s="54"/>
      <c r="J38" s="552">
        <f>'[1]Page 2'!$E$34</f>
        <v>0</v>
      </c>
      <c r="K38" s="554">
        <f>SUMIFS('Accounting data'!$G$2:$G$37000,'Accounting data'!$H$2:$H$37000,"14XX*",'Accounting data'!$K$2:$K$37000,"6*")-SUMIFS('Accounting data'!$G$2:$G$37000,'Accounting data'!$H$2:$H$37000,"14XX*",'Accounting data'!$K$2:$K$37000,"69*")-SUMIFS('Accounting data'!$G$2:$G$37000,'Accounting data'!$H$2:$H$37000,"14XX*",'Accounting data'!$K$2:$K$37000,"67*")</f>
        <v>0</v>
      </c>
      <c r="L38" s="54"/>
      <c r="M38" s="54"/>
      <c r="N38" s="554">
        <f t="shared" si="2"/>
        <v>0</v>
      </c>
      <c r="O38" s="72" t="s">
        <v>83</v>
      </c>
    </row>
    <row r="39" spans="1:15" ht="12.75" customHeight="1" thickBot="1" x14ac:dyDescent="0.3">
      <c r="A39" t="s">
        <v>349</v>
      </c>
      <c r="D39" s="68" t="s">
        <v>83</v>
      </c>
      <c r="E39" s="221">
        <f>[2]!StP14701499EndBal</f>
        <v>0</v>
      </c>
      <c r="F39" s="59"/>
      <c r="G39" s="221">
        <f>-(SUMIFS('Accounting data'!$G$2:$G$37000,'Accounting data'!$H$2:$H$37000,"1470*",'Accounting data'!$K$2:$K$37000,"1*")+SUMIFS('Accounting data'!$G$2:$G$37000,'Accounting data'!$H$2:$H$37000,"1470*",'Accounting data'!$K$2:$K$37000,"2*")+SUMIFS('Accounting data'!$G$2:$G$37000,'Accounting data'!$H$2:$H$37000,"1470*",'Accounting data'!$K$2:$K$37000,"3*")+SUMIFS('Accounting data'!$G$2:$G$37000,'Accounting data'!$H$2:$H$37000,"1470*",'Accounting data'!$K$2:$K$37000,"4*")+SUMIFS('Accounting data'!$G$2:$G$37000,'Accounting data'!$H$2:$H$37000,"1470*",'Accounting data'!$K$2:$K$37000,"Other*"))</f>
        <v>174533</v>
      </c>
      <c r="H39" s="257"/>
      <c r="I39" s="58"/>
      <c r="J39" s="221">
        <f>[1]!SP14701499Other</f>
        <v>80000</v>
      </c>
      <c r="K39" s="227">
        <f>SUMIFS('Accounting data'!$G$2:$G$37000,'Accounting data'!$H$2:$H$37000,"1470*",'Accounting data'!$K$2:$K$37000,"6*")-SUMIFS('Accounting data'!$G$2:$G$37000,'Accounting data'!$H$2:$H$37000,"1470*",'Accounting data'!$K$2:$K$37000,"69*")-SUMIFS('Accounting data'!$G$2:$G$37000,'Accounting data'!$H$2:$H$37000,"1470*",'Accounting data'!$K$2:$K$37000,"67*")</f>
        <v>174533</v>
      </c>
      <c r="L39" s="58"/>
      <c r="M39" s="58"/>
      <c r="N39" s="554">
        <f t="shared" si="2"/>
        <v>0</v>
      </c>
      <c r="O39" s="68" t="s">
        <v>84</v>
      </c>
    </row>
    <row r="40" spans="1:15" ht="13.8" thickBot="1" x14ac:dyDescent="0.3">
      <c r="A40" t="s">
        <v>1102</v>
      </c>
      <c r="D40" s="68" t="s">
        <v>84</v>
      </c>
      <c r="E40" s="222">
        <f>SUM(E28:E39)</f>
        <v>0</v>
      </c>
      <c r="F40" s="222" cm="1">
        <f t="array" ref="F40">SUM(IF(F28:F39="",E28:E39,F28:F39))</f>
        <v>0</v>
      </c>
      <c r="G40" s="222">
        <f>SUM(G28:G39)</f>
        <v>174533</v>
      </c>
      <c r="H40" s="258"/>
      <c r="I40" s="222">
        <f>SUM(I28:I39)</f>
        <v>0</v>
      </c>
      <c r="J40" s="222">
        <f>SUM(J28:J39)</f>
        <v>80000</v>
      </c>
      <c r="K40" s="222">
        <f>SUM(K28:K39)</f>
        <v>174533</v>
      </c>
      <c r="L40" s="222">
        <f>SUM(L28:L39)</f>
        <v>0</v>
      </c>
      <c r="M40" s="222">
        <f>SUM(M28:M39)</f>
        <v>0</v>
      </c>
      <c r="N40" s="554">
        <f>SUM(IF(F40="",E40,F40)+G40-H40-I40-K40-L40-M40)</f>
        <v>0</v>
      </c>
      <c r="O40" s="68" t="s">
        <v>137</v>
      </c>
    </row>
    <row r="41" spans="1:15" ht="13.8" thickTop="1" x14ac:dyDescent="0.25">
      <c r="D41" s="259"/>
      <c r="E41" s="31"/>
      <c r="F41" s="31"/>
      <c r="G41" s="31"/>
      <c r="H41" s="31"/>
      <c r="I41" s="31"/>
      <c r="J41" s="31"/>
      <c r="K41" s="31"/>
      <c r="L41" s="31"/>
      <c r="M41" s="31"/>
      <c r="N41" s="31"/>
      <c r="O41" s="260"/>
    </row>
    <row r="42" spans="1:15" ht="13.8" thickBot="1" x14ac:dyDescent="0.3">
      <c r="A42" s="214" t="s">
        <v>1101</v>
      </c>
      <c r="B42" s="214"/>
      <c r="C42" s="214"/>
      <c r="D42" s="68" t="s">
        <v>137</v>
      </c>
      <c r="E42" s="261">
        <f>SUM(E23+E40)</f>
        <v>0</v>
      </c>
      <c r="F42" s="261">
        <f>SUM(F23+F40)</f>
        <v>0</v>
      </c>
      <c r="G42" s="261">
        <f>SUM(G23+G40)</f>
        <v>609337</v>
      </c>
      <c r="H42" s="560">
        <f>H23</f>
        <v>0</v>
      </c>
      <c r="I42" s="261">
        <f>SUM(I23+I40)</f>
        <v>0</v>
      </c>
      <c r="J42" s="261">
        <f>SUM(J23+J40)</f>
        <v>445000</v>
      </c>
      <c r="K42" s="261">
        <f>SUM(K23+K40)</f>
        <v>609337</v>
      </c>
      <c r="L42" s="261">
        <f>SUM(L23+L40)</f>
        <v>0</v>
      </c>
      <c r="M42" s="261">
        <f>SUM(M23+M40)</f>
        <v>0</v>
      </c>
      <c r="N42" s="554">
        <f>SUM(IF(F42="",E42,F42)+G42-H42-I42-K42-L42-M42)</f>
        <v>0</v>
      </c>
      <c r="O42" s="68" t="s">
        <v>138</v>
      </c>
    </row>
  </sheetData>
  <sheetProtection sheet="1" formatCells="0" formatColumns="0" formatRows="0"/>
  <mergeCells count="5">
    <mergeCell ref="A3:D3"/>
    <mergeCell ref="B1:D1"/>
    <mergeCell ref="H1:I1"/>
    <mergeCell ref="J4:K4"/>
    <mergeCell ref="B4:C4"/>
  </mergeCells>
  <conditionalFormatting sqref="F6:F22 F25 F28:F39">
    <cfRule type="expression" dxfId="45" priority="1" stopIfTrue="1">
      <formula>$F6=""</formula>
    </cfRule>
  </conditionalFormatting>
  <conditionalFormatting sqref="I6:I22 I28:I39">
    <cfRule type="expression" dxfId="44" priority="7" stopIfTrue="1">
      <formula>$I6=""</formula>
    </cfRule>
  </conditionalFormatting>
  <conditionalFormatting sqref="I25 M25">
    <cfRule type="expression" dxfId="43" priority="5" stopIfTrue="1">
      <formula>I$25=""</formula>
    </cfRule>
  </conditionalFormatting>
  <conditionalFormatting sqref="L22 L28:L39">
    <cfRule type="containsBlanks" dxfId="42" priority="4">
      <formula>LEN(TRIM(L22))=0</formula>
    </cfRule>
  </conditionalFormatting>
  <conditionalFormatting sqref="L25">
    <cfRule type="containsBlanks" dxfId="41" priority="3">
      <formula>LEN(TRIM(L25))=0</formula>
    </cfRule>
  </conditionalFormatting>
  <conditionalFormatting sqref="M6:M22 M28:M39">
    <cfRule type="expression" dxfId="40" priority="6" stopIfTrue="1">
      <formula>$M6=""</formula>
    </cfRule>
  </conditionalFormatting>
  <hyperlinks>
    <hyperlink ref="A3:D3" location="FederalAndStateProjectsPage9" display="FEDERAL AND STATE PROJECTS" xr:uid="{00000000-0004-0000-0900-000000000000}"/>
    <hyperlink ref="A42:C42" location="FederalAndStateProjectsPage9Line30" display="     Total Federal and State Projects (lines 17 and 29)" xr:uid="{00000000-0004-0000-0900-000001000000}"/>
    <hyperlink ref="A21:C22" location="ImpactAidandOtherFederalProjects" display="13__ Impact Aid" xr:uid="{00000000-0004-0000-0900-000002000000}"/>
    <hyperlink ref="A25:C25" location="ImpactAidandOtherFederalProjects" display="Total COVID-19 federal relief projects included in line 17" xr:uid="{00000000-0004-0000-0900-000003000000}"/>
    <hyperlink ref="F3" location="FederalAndStateProjectsAdjustedBeginningProjectBalance" display="Adjusted" xr:uid="{00000000-0004-0000-0900-000004000000}"/>
    <hyperlink ref="F4" location="FederalAndStateProjectsAdjustedBeginningProjectBalance" display="Beginning" xr:uid="{00000000-0004-0000-0900-000005000000}"/>
    <hyperlink ref="F5" location="FederalAndStateProjectsAdjustedBeginningProjectBalance" display="Project Balance" xr:uid="{00000000-0004-0000-0900-000006000000}"/>
    <hyperlink ref="B4" location="FederalAndStateProjectsPage9" display="Instructions" xr:uid="{F088FE02-AC28-4617-B207-65B044D1BE71}"/>
  </hyperlinks>
  <pageMargins left="0.7" right="0.7" top="0.75" bottom="0.75" header="0.3" footer="0.3"/>
  <pageSetup scale="67" orientation="landscape" r:id="rId1"/>
  <headerFooter>
    <oddFooter>&amp;LRev. 8/25 Arizona Department of Education and Auditor General&amp;CFY 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798dea16ed758de3799db7189bd5c9d4">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bd853b57da55c3c911dd2045b9586b0a"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Props1.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2.xml><?xml version="1.0" encoding="utf-8"?>
<ds:datastoreItem xmlns:ds="http://schemas.openxmlformats.org/officeDocument/2006/customXml" ds:itemID="{AF72CDD0-BFD7-4CF9-8D50-A11CFBB8E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B4F38B-0799-4886-B61C-8DBB46B47F73}">
  <ds:schemaRefs>
    <ds:schemaRef ds:uri="http://schemas.microsoft.com/office/2006/metadata/properties"/>
    <ds:schemaRef ds:uri="http://www.w3.org/XML/1998/namespace"/>
    <ds:schemaRef ds:uri="ffcdc2e4-c8f2-4bf7-ab1d-ea300bde3fd8"/>
    <ds:schemaRef ds:uri="http://purl.org/dc/elements/1.1/"/>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8385876d-3ffd-449d-b709-a8df02b96ae7"/>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19</vt:i4>
      </vt:variant>
      <vt:variant>
        <vt:lpstr>Named Ranges</vt:lpstr>
      </vt:variant>
      <vt:variant>
        <vt:i4>205</vt:i4>
      </vt:variant>
    </vt:vector>
  </HeadingPairs>
  <TitlesOfParts>
    <vt:vector size="224" baseType="lpstr">
      <vt:lpstr>Cover Page</vt:lpstr>
      <vt:lpstr>Page 1</vt:lpstr>
      <vt:lpstr>Page 2</vt:lpstr>
      <vt:lpstr>Page 3</vt:lpstr>
      <vt:lpstr>Page 4</vt:lpstr>
      <vt:lpstr>Page 5</vt:lpstr>
      <vt:lpstr>Page 6</vt:lpstr>
      <vt:lpstr>Page 7</vt:lpstr>
      <vt:lpstr>Page 8</vt:lpstr>
      <vt:lpstr>Page 9</vt:lpstr>
      <vt:lpstr>Page 10</vt:lpstr>
      <vt:lpstr>Food Service</vt:lpstr>
      <vt:lpstr>Summary</vt:lpstr>
      <vt:lpstr>Reserve balance</vt:lpstr>
      <vt:lpstr>School listing</vt:lpstr>
      <vt:lpstr>Alerts</vt:lpstr>
      <vt:lpstr>Accounting data</vt:lpstr>
      <vt:lpstr>Calculations</vt:lpstr>
      <vt:lpstr>Instructions</vt:lpstr>
      <vt:lpstr>Account</vt:lpstr>
      <vt:lpstr>Accounting_Data_Tab</vt:lpstr>
      <vt:lpstr>ActualTotalFederalAndStateProjects</vt:lpstr>
      <vt:lpstr>ActualTotalInstImpExp</vt:lpstr>
      <vt:lpstr>AddlInstrImprProjEndBal</vt:lpstr>
      <vt:lpstr>AdjustedBeginningProjectBalance</vt:lpstr>
      <vt:lpstr>ALaCarte</vt:lpstr>
      <vt:lpstr>AllDisabilityClassifications</vt:lpstr>
      <vt:lpstr>ArizonaIndustryCredentialsIncentive</vt:lpstr>
      <vt:lpstr>AuditServices</vt:lpstr>
      <vt:lpstr>AverageTeacherSalary</vt:lpstr>
      <vt:lpstr>BegProjectBalances</vt:lpstr>
      <vt:lpstr>Breakfasts</vt:lpstr>
      <vt:lpstr>CapitalAcquisitions</vt:lpstr>
      <vt:lpstr>CapitalAcquisitionsLine5</vt:lpstr>
      <vt:lpstr>CashandInvestments</vt:lpstr>
      <vt:lpstr>CashBal</vt:lpstr>
      <vt:lpstr>CIP1072EndBal</vt:lpstr>
      <vt:lpstr>ClssrmSitepg3</vt:lpstr>
      <vt:lpstr>CSPEndBal</vt:lpstr>
      <vt:lpstr>CSPlines122615</vt:lpstr>
      <vt:lpstr>CSPlines4914</vt:lpstr>
      <vt:lpstr>CSPPropertyPayments</vt:lpstr>
      <vt:lpstr>CurrentExpensesByCategory</vt:lpstr>
      <vt:lpstr>CurrentExpensesbyCategoryLines7and8</vt:lpstr>
      <vt:lpstr>DebtService</vt:lpstr>
      <vt:lpstr>District_Name</vt:lpstr>
      <vt:lpstr>EXPENSES</vt:lpstr>
      <vt:lpstr>ExpensesPage2</vt:lpstr>
      <vt:lpstr>FederalAndStateProjectsAdjustedBeginningProjectBalance</vt:lpstr>
      <vt:lpstr>FederalAndStateProjectsPage2</vt:lpstr>
      <vt:lpstr>FederalAndStateProjectsPage9</vt:lpstr>
      <vt:lpstr>FederalAndStateProjectsPage9Line30</vt:lpstr>
      <vt:lpstr>Food_Service_1600</vt:lpstr>
      <vt:lpstr>FoodServiceGen</vt:lpstr>
      <vt:lpstr>FP11001130EndBal</vt:lpstr>
      <vt:lpstr>FP11401150EndBal</vt:lpstr>
      <vt:lpstr>FP1160EndBal</vt:lpstr>
      <vt:lpstr>FP11701180EndBal</vt:lpstr>
      <vt:lpstr>FP1190EndBal</vt:lpstr>
      <vt:lpstr>FP1200EndBal</vt:lpstr>
      <vt:lpstr>FP1210EndBal</vt:lpstr>
      <vt:lpstr>FP1220EndBal</vt:lpstr>
      <vt:lpstr>FP1230EndBal</vt:lpstr>
      <vt:lpstr>FP1240EndBal</vt:lpstr>
      <vt:lpstr>FP1250EndBal</vt:lpstr>
      <vt:lpstr>FP1260EndBal</vt:lpstr>
      <vt:lpstr>FP1280EndBal</vt:lpstr>
      <vt:lpstr>FP1290EndBal</vt:lpstr>
      <vt:lpstr>FP1300EndBal</vt:lpstr>
      <vt:lpstr>FP13101399EndBal</vt:lpstr>
      <vt:lpstr>FP13XXImpactAidEndBal</vt:lpstr>
      <vt:lpstr>FullTimeEquivalentTeachers</vt:lpstr>
      <vt:lpstr>GeneralInstructions</vt:lpstr>
      <vt:lpstr>GeneralPage1</vt:lpstr>
      <vt:lpstr>GeneralPage10</vt:lpstr>
      <vt:lpstr>ImpactAidandOtherFederalProjects</vt:lpstr>
      <vt:lpstr>InvestmentInCapitalAssets</vt:lpstr>
      <vt:lpstr>InvestmentInCapitalAssetsLine5</vt:lpstr>
      <vt:lpstr>LongandShortTermDebt</vt:lpstr>
      <vt:lpstr>LunchesSuppers</vt:lpstr>
      <vt:lpstr>NameCountyCTDSNumber</vt:lpstr>
      <vt:lpstr>Page10DebtServiceDetail</vt:lpstr>
      <vt:lpstr>Page10FY20to23Exp</vt:lpstr>
      <vt:lpstr>Page10FY24Exp</vt:lpstr>
      <vt:lpstr>Page10General</vt:lpstr>
      <vt:lpstr>Page10OtherLine</vt:lpstr>
      <vt:lpstr>Page10PPP</vt:lpstr>
      <vt:lpstr>Page10projects</vt:lpstr>
      <vt:lpstr>Page10ProjectsLine1</vt:lpstr>
      <vt:lpstr>Page10ProjectsLine2</vt:lpstr>
      <vt:lpstr>Page10ProjectsLine3</vt:lpstr>
      <vt:lpstr>Page10ProjectsLine4</vt:lpstr>
      <vt:lpstr>Page10ProjectsLine5</vt:lpstr>
      <vt:lpstr>Page10ProjectsLine6</vt:lpstr>
      <vt:lpstr>Page10PropertyDisbursement</vt:lpstr>
      <vt:lpstr>Page10PropertyDisbursementDetail</vt:lpstr>
      <vt:lpstr>Page10Remaining</vt:lpstr>
      <vt:lpstr>Page10TechDetail</vt:lpstr>
      <vt:lpstr>Page10TechDetailLine7</vt:lpstr>
      <vt:lpstr>Page10TotalAward</vt:lpstr>
      <vt:lpstr>Page3AdjBeginProjBal</vt:lpstr>
      <vt:lpstr>Page4AdjBeginProjBal</vt:lpstr>
      <vt:lpstr>Page5AdjBeginProjBal</vt:lpstr>
      <vt:lpstr>'Accounting data'!Print_Area</vt:lpstr>
      <vt:lpstr>Alerts!Print_Area</vt:lpstr>
      <vt:lpstr>'Cover Page'!Print_Area</vt:lpstr>
      <vt:lpstr>'Food Service'!Print_Area</vt:lpstr>
      <vt:lpstr>Instructions!Print_Area</vt:lpstr>
      <vt:lpstr>'Page 1'!Print_Area</vt:lpstr>
      <vt:lpstr>'Page 10'!Print_Area</vt:lpstr>
      <vt:lpstr>'Page 2'!Print_Area</vt:lpstr>
      <vt:lpstr>'Page 3'!Print_Area</vt:lpstr>
      <vt:lpstr>'Page 4'!Print_Area</vt:lpstr>
      <vt:lpstr>'Page 6'!Print_Area</vt:lpstr>
      <vt:lpstr>'Page 7'!Print_Area</vt:lpstr>
      <vt:lpstr>'Page 8'!Print_Area</vt:lpstr>
      <vt:lpstr>'Page 9'!Print_Area</vt:lpstr>
      <vt:lpstr>'Reserve balance'!Print_Area</vt:lpstr>
      <vt:lpstr>Summary!Print_Area</vt:lpstr>
      <vt:lpstr>PriorYearSalary</vt:lpstr>
      <vt:lpstr>PropertyDisbursements</vt:lpstr>
      <vt:lpstr>PropertyDisbursementsByType</vt:lpstr>
      <vt:lpstr>ReserveBalSecA</vt:lpstr>
      <vt:lpstr>ReserveBalSecAl1</vt:lpstr>
      <vt:lpstr>ReserveBalSecAl2</vt:lpstr>
      <vt:lpstr>ReserveBalSecAl3</vt:lpstr>
      <vt:lpstr>ReserveBalSecAl3a</vt:lpstr>
      <vt:lpstr>ReserveBalSecAl3b</vt:lpstr>
      <vt:lpstr>ReserveBalSecAl3c</vt:lpstr>
      <vt:lpstr>ReserveBalSecAl3d</vt:lpstr>
      <vt:lpstr>ReserveBalSecAl3e</vt:lpstr>
      <vt:lpstr>ReserveBalSecAl3f</vt:lpstr>
      <vt:lpstr>ReserveBalSecAl3g</vt:lpstr>
      <vt:lpstr>ReserveBalSecB</vt:lpstr>
      <vt:lpstr>ReserveBalSecBl4</vt:lpstr>
      <vt:lpstr>ReserveBalSecBl5</vt:lpstr>
      <vt:lpstr>Restricted3200</vt:lpstr>
      <vt:lpstr>Revenue_From_Selected_Federal_Sources</vt:lpstr>
      <vt:lpstr>REVENUES</vt:lpstr>
      <vt:lpstr>School_Listing_Tab</vt:lpstr>
      <vt:lpstr>SchoolwideEndBal</vt:lpstr>
      <vt:lpstr>Section_C_Transportation</vt:lpstr>
      <vt:lpstr>SectionA</vt:lpstr>
      <vt:lpstr>SectionB</vt:lpstr>
      <vt:lpstr>SectionC</vt:lpstr>
      <vt:lpstr>SectionD</vt:lpstr>
      <vt:lpstr>SectionE</vt:lpstr>
      <vt:lpstr>SectionF</vt:lpstr>
      <vt:lpstr>SectionG</vt:lpstr>
      <vt:lpstr>SEIP1071EndBal</vt:lpstr>
      <vt:lpstr>Snacks</vt:lpstr>
      <vt:lpstr>SP1000ClassSiteProj</vt:lpstr>
      <vt:lpstr>SP1000CompInstrProj</vt:lpstr>
      <vt:lpstr>SP1000FedStProj</vt:lpstr>
      <vt:lpstr>SP1000InstrImpProj</vt:lpstr>
      <vt:lpstr>SP1000P100F1000</vt:lpstr>
      <vt:lpstr>SP1000P100F2100</vt:lpstr>
      <vt:lpstr>SP1000P100F2200</vt:lpstr>
      <vt:lpstr>SP1000P100F2300</vt:lpstr>
      <vt:lpstr>SP1000P100F2400</vt:lpstr>
      <vt:lpstr>SP1000P100F2500</vt:lpstr>
      <vt:lpstr>SP1000P100F2600</vt:lpstr>
      <vt:lpstr>SP1000P100F2900</vt:lpstr>
      <vt:lpstr>SP1000P100F3000</vt:lpstr>
      <vt:lpstr>SP1000P100F4000</vt:lpstr>
      <vt:lpstr>SP1000P100F5000</vt:lpstr>
      <vt:lpstr>SP1000P200F1000</vt:lpstr>
      <vt:lpstr>SP1000P200F2100</vt:lpstr>
      <vt:lpstr>SP1000P200F2200</vt:lpstr>
      <vt:lpstr>SP1000P200F2300</vt:lpstr>
      <vt:lpstr>SP1000P200F2400</vt:lpstr>
      <vt:lpstr>SP1000P200F2500</vt:lpstr>
      <vt:lpstr>SP1000P200F2600</vt:lpstr>
      <vt:lpstr>SP1000P200F2900</vt:lpstr>
      <vt:lpstr>SP1000P200F3000</vt:lpstr>
      <vt:lpstr>SP1000P200F4000</vt:lpstr>
      <vt:lpstr>SP1000P200F5000</vt:lpstr>
      <vt:lpstr>SP1000P400</vt:lpstr>
      <vt:lpstr>SP1000P530</vt:lpstr>
      <vt:lpstr>SP1000P540</vt:lpstr>
      <vt:lpstr>SP1000P550</vt:lpstr>
      <vt:lpstr>SP1000P610</vt:lpstr>
      <vt:lpstr>SP1000P620</vt:lpstr>
      <vt:lpstr>SP1000P630700800900</vt:lpstr>
      <vt:lpstr>SP1000StruEngImmProj</vt:lpstr>
      <vt:lpstr>SpecialEdProgramsByType</vt:lpstr>
      <vt:lpstr>StP1400EndBal</vt:lpstr>
      <vt:lpstr>StP1410EndBal</vt:lpstr>
      <vt:lpstr>StP1420EndBal</vt:lpstr>
      <vt:lpstr>StP1425EndBal</vt:lpstr>
      <vt:lpstr>StP1430EndBal</vt:lpstr>
      <vt:lpstr>StP1435EndBal</vt:lpstr>
      <vt:lpstr>StP1450EndBal</vt:lpstr>
      <vt:lpstr>StP1456EndBal</vt:lpstr>
      <vt:lpstr>StP1460EndBal</vt:lpstr>
      <vt:lpstr>StP1465EndBal</vt:lpstr>
      <vt:lpstr>StP14701499EndBal</vt:lpstr>
      <vt:lpstr>StP14XXEndBal</vt:lpstr>
      <vt:lpstr>SumADM</vt:lpstr>
      <vt:lpstr>SumGen</vt:lpstr>
      <vt:lpstr>SupportServicesInstructionDetail</vt:lpstr>
      <vt:lpstr>TeacherSalaries</vt:lpstr>
      <vt:lpstr>TeacherSalariesLine1</vt:lpstr>
      <vt:lpstr>TeacherSalariesLine2</vt:lpstr>
      <vt:lpstr>TeacherSalariesLine3</vt:lpstr>
      <vt:lpstr>TeacherSalariesLine4</vt:lpstr>
      <vt:lpstr>TeacherSalariesLine5</vt:lpstr>
      <vt:lpstr>TechnologyDetail</vt:lpstr>
      <vt:lpstr>TotalActualGiftedExpenses</vt:lpstr>
      <vt:lpstr>TotalCIP6100</vt:lpstr>
      <vt:lpstr>TotalCIP6200</vt:lpstr>
      <vt:lpstr>TotalCIP630064006500</vt:lpstr>
      <vt:lpstr>TotalCIP6600</vt:lpstr>
      <vt:lpstr>TotalCIP6800</vt:lpstr>
      <vt:lpstr>TotalSEIP6100</vt:lpstr>
      <vt:lpstr>TotalSEIP6200</vt:lpstr>
      <vt:lpstr>TotalSEIP630064006500</vt:lpstr>
      <vt:lpstr>TotalSEIP6600</vt:lpstr>
      <vt:lpstr>TotalSEIP6800</vt:lpstr>
      <vt:lpstr>TotExpSchoolwide</vt:lpstr>
      <vt:lpstr>Unrestricted_Restricted_4100_4300</vt:lpstr>
      <vt:lpstr>Unrestricted_Restricted_4200_4500</vt:lpstr>
      <vt:lpstr>UtilitiesandEnergyServices</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AFR</dc:title>
  <dc:subject/>
  <dc:creator>AZ Auditor General</dc:creator>
  <cp:keywords/>
  <dc:description/>
  <cp:lastModifiedBy>Scott Kies</cp:lastModifiedBy>
  <cp:lastPrinted>2025-08-06T17:38:46Z</cp:lastPrinted>
  <dcterms:created xsi:type="dcterms:W3CDTF">1997-10-09T09:56:13Z</dcterms:created>
  <dcterms:modified xsi:type="dcterms:W3CDTF">2025-10-09T12:07:09Z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2025</vt:lpwstr>
  </property>
  <property fmtid="{D5CDD505-2E9C-101B-9397-08002B2CF9AE}" pid="3" name="BudgetTypeID">
    <vt:lpwstr>11</vt:lpwstr>
  </property>
  <property fmtid="{D5CDD505-2E9C-101B-9397-08002B2CF9AE}" pid="4" name="SchoolBySchool">
    <vt:lpwstr>0</vt:lpwstr>
  </property>
  <property fmtid="{D5CDD505-2E9C-101B-9397-08002B2CF9AE}" pid="5" name="Password">
    <vt:lpwstr>DBacks123</vt:lpwstr>
  </property>
  <property fmtid="{D5CDD505-2E9C-101B-9397-08002B2CF9AE}" pid="6" name="ContentTypeId">
    <vt:lpwstr>0x01010011E11B9217455B40B8FBB9893A94134E</vt:lpwstr>
  </property>
  <property fmtid="{D5CDD505-2E9C-101B-9397-08002B2CF9AE}" pid="7" name="MediaServiceImageTags">
    <vt:lpwstr/>
  </property>
  <property fmtid="{D5CDD505-2E9C-101B-9397-08002B2CF9AE}" pid="8" name="ADEGUID">
    <vt:lpwstr>2FA88DA1-0A61-4956-8BBE-A52B9F9C88BB</vt:lpwstr>
  </property>
</Properties>
</file>